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12" windowWidth="14712" windowHeight="8196" activeTab="2"/>
  </bookViews>
  <sheets>
    <sheet name="Can doi" sheetId="2" r:id="rId1"/>
    <sheet name="Thu ngan sach" sheetId="1" r:id="rId2"/>
    <sheet name="Chi ngân sách" sheetId="4" r:id="rId3"/>
  </sheets>
  <definedNames>
    <definedName name="_xlnm._FilterDatabase" localSheetId="1" hidden="1">'Thu ngan sach'!$A$7:$L$71</definedName>
    <definedName name="_xlnm.Print_Area" localSheetId="0">'Can doi'!$A$1:$J$24</definedName>
    <definedName name="_xlnm.Print_Area" localSheetId="2">'Chi ngân sách'!$A$1:$M$51</definedName>
    <definedName name="_xlnm.Print_Area" localSheetId="1">'Thu ngan sach'!$A$1:$L$73</definedName>
    <definedName name="_xlnm.Print_Titles" localSheetId="2">'Chi ngân sách'!$5:$8</definedName>
    <definedName name="_xlnm.Print_Titles" localSheetId="1">'Thu ngan sach'!$5:$8</definedName>
  </definedNames>
  <calcPr calcId="144525"/>
</workbook>
</file>

<file path=xl/calcChain.xml><?xml version="1.0" encoding="utf-8"?>
<calcChain xmlns="http://schemas.openxmlformats.org/spreadsheetml/2006/main">
  <c r="J10" i="2" l="1"/>
  <c r="I10" i="2"/>
  <c r="H10" i="2"/>
  <c r="K10" i="2"/>
  <c r="I13" i="4" l="1"/>
  <c r="H16" i="4" l="1"/>
  <c r="H15" i="4"/>
  <c r="H14" i="4"/>
  <c r="H13" i="4"/>
  <c r="J11" i="4"/>
  <c r="K11" i="4"/>
  <c r="K12" i="4" l="1"/>
  <c r="J12" i="4"/>
  <c r="I53" i="4" l="1"/>
  <c r="I34" i="4" l="1"/>
  <c r="I54" i="4" s="1"/>
  <c r="I56" i="4" s="1"/>
  <c r="J28" i="4"/>
  <c r="J20" i="4"/>
  <c r="I20" i="4"/>
  <c r="K18" i="4"/>
  <c r="J18" i="4"/>
  <c r="I18" i="4"/>
  <c r="G20" i="2" l="1"/>
  <c r="G11" i="2"/>
  <c r="G12" i="2"/>
  <c r="G16" i="2"/>
  <c r="G17" i="2"/>
  <c r="G19" i="2"/>
  <c r="G21" i="2"/>
  <c r="I15" i="2"/>
  <c r="H15" i="2"/>
  <c r="H14" i="2"/>
  <c r="G14" i="2" s="1"/>
  <c r="J9" i="2"/>
  <c r="G10" i="2" l="1"/>
  <c r="I9" i="2"/>
  <c r="G15" i="2"/>
  <c r="G18" i="2"/>
  <c r="H49" i="4" l="1"/>
  <c r="H48" i="4"/>
  <c r="J47" i="4"/>
  <c r="I47" i="4"/>
  <c r="H46" i="4"/>
  <c r="K38" i="4"/>
  <c r="K37" i="4" s="1"/>
  <c r="J22" i="2" s="1"/>
  <c r="J8" i="2" s="1"/>
  <c r="J38" i="4"/>
  <c r="J37" i="4" s="1"/>
  <c r="I37" i="4"/>
  <c r="H22" i="2" s="1"/>
  <c r="E37" i="4"/>
  <c r="D37" i="4" s="1"/>
  <c r="M36" i="4"/>
  <c r="L35" i="4"/>
  <c r="D35" i="4"/>
  <c r="M35" i="4" s="1"/>
  <c r="H34" i="4"/>
  <c r="D33" i="4"/>
  <c r="M33" i="4" s="1"/>
  <c r="H32" i="4"/>
  <c r="L32" i="4" s="1"/>
  <c r="D32" i="4"/>
  <c r="M31" i="4"/>
  <c r="L31" i="4"/>
  <c r="H30" i="4"/>
  <c r="E30" i="4"/>
  <c r="D30" i="4" s="1"/>
  <c r="M30" i="4" s="1"/>
  <c r="H29" i="4"/>
  <c r="D29" i="4"/>
  <c r="K28" i="4"/>
  <c r="H28" i="4"/>
  <c r="E28" i="4"/>
  <c r="D28" i="4" s="1"/>
  <c r="H27" i="4"/>
  <c r="E27" i="4"/>
  <c r="D27" i="4" s="1"/>
  <c r="H26" i="4"/>
  <c r="F26" i="4"/>
  <c r="F17" i="4" s="1"/>
  <c r="E26" i="4"/>
  <c r="H25" i="4"/>
  <c r="E25" i="4"/>
  <c r="D25" i="4" s="1"/>
  <c r="H24" i="4"/>
  <c r="E24" i="4"/>
  <c r="D24" i="4" s="1"/>
  <c r="H23" i="4"/>
  <c r="E23" i="4"/>
  <c r="D23" i="4" s="1"/>
  <c r="K22" i="4"/>
  <c r="J22" i="4"/>
  <c r="I22" i="4"/>
  <c r="E22" i="4"/>
  <c r="D22" i="4" s="1"/>
  <c r="K21" i="4"/>
  <c r="J21" i="4"/>
  <c r="I21" i="4"/>
  <c r="E21" i="4"/>
  <c r="D21" i="4" s="1"/>
  <c r="H20" i="4"/>
  <c r="E20" i="4"/>
  <c r="D20" i="4" s="1"/>
  <c r="H19" i="4"/>
  <c r="E19" i="4"/>
  <c r="D19" i="4" s="1"/>
  <c r="K17" i="4"/>
  <c r="E18" i="4"/>
  <c r="G17" i="4"/>
  <c r="C17" i="4"/>
  <c r="D16" i="4"/>
  <c r="D15" i="4"/>
  <c r="E14" i="4"/>
  <c r="D14" i="4" s="1"/>
  <c r="M14" i="4" s="1"/>
  <c r="C14" i="4"/>
  <c r="C12" i="4" s="1"/>
  <c r="C11" i="4" s="1"/>
  <c r="E13" i="4"/>
  <c r="D13" i="4" s="1"/>
  <c r="I12" i="4"/>
  <c r="I11" i="4" s="1"/>
  <c r="G12" i="4"/>
  <c r="G11" i="4" s="1"/>
  <c r="F12" i="4"/>
  <c r="F11" i="4" s="1"/>
  <c r="H49" i="1"/>
  <c r="J48" i="1"/>
  <c r="H37" i="1"/>
  <c r="I37" i="1"/>
  <c r="J37" i="1"/>
  <c r="H11" i="4" l="1"/>
  <c r="M27" i="4"/>
  <c r="M20" i="4"/>
  <c r="M24" i="4"/>
  <c r="H12" i="4"/>
  <c r="M16" i="4"/>
  <c r="C10" i="4"/>
  <c r="C50" i="4" s="1"/>
  <c r="K10" i="4"/>
  <c r="K50" i="4" s="1"/>
  <c r="F10" i="4"/>
  <c r="F50" i="4" s="1"/>
  <c r="M28" i="4"/>
  <c r="M29" i="4"/>
  <c r="G10" i="4"/>
  <c r="G50" i="4" s="1"/>
  <c r="M15" i="4"/>
  <c r="H21" i="4"/>
  <c r="H22" i="4"/>
  <c r="M22" i="4" s="1"/>
  <c r="D26" i="4"/>
  <c r="M26" i="4" s="1"/>
  <c r="H47" i="4"/>
  <c r="I22" i="2"/>
  <c r="I8" i="2" s="1"/>
  <c r="H37" i="4"/>
  <c r="M37" i="4" s="1"/>
  <c r="M23" i="4"/>
  <c r="H18" i="4"/>
  <c r="J17" i="4"/>
  <c r="J10" i="4" s="1"/>
  <c r="E17" i="4"/>
  <c r="M21" i="4"/>
  <c r="M25" i="4"/>
  <c r="E12" i="4"/>
  <c r="E11" i="4" s="1"/>
  <c r="M13" i="4"/>
  <c r="D12" i="4"/>
  <c r="M19" i="4"/>
  <c r="D18" i="4"/>
  <c r="D17" i="4" s="1"/>
  <c r="I17" i="4"/>
  <c r="M32" i="4"/>
  <c r="F58" i="1"/>
  <c r="H58" i="1"/>
  <c r="I58" i="1"/>
  <c r="J58" i="1"/>
  <c r="G65" i="1"/>
  <c r="E65" i="1" s="1"/>
  <c r="L65" i="1" s="1"/>
  <c r="D58" i="1"/>
  <c r="G64" i="1"/>
  <c r="E64" i="1" s="1"/>
  <c r="G63" i="1"/>
  <c r="E63" i="1" s="1"/>
  <c r="G62" i="1"/>
  <c r="E62" i="1" s="1"/>
  <c r="L62" i="1" s="1"/>
  <c r="B10" i="2"/>
  <c r="C9" i="4" l="1"/>
  <c r="K9" i="4"/>
  <c r="J50" i="4"/>
  <c r="J9" i="4"/>
  <c r="E10" i="4"/>
  <c r="G13" i="2"/>
  <c r="I10" i="4"/>
  <c r="I50" i="4" s="1"/>
  <c r="G9" i="4"/>
  <c r="L11" i="4"/>
  <c r="F9" i="4"/>
  <c r="H17" i="4"/>
  <c r="L17" i="4" s="1"/>
  <c r="G22" i="2"/>
  <c r="E50" i="4"/>
  <c r="E9" i="4"/>
  <c r="M12" i="4"/>
  <c r="D11" i="4"/>
  <c r="D10" i="4" s="1"/>
  <c r="M18" i="4"/>
  <c r="G56" i="1"/>
  <c r="H9" i="2" l="1"/>
  <c r="I9" i="4"/>
  <c r="H10" i="4"/>
  <c r="M17" i="4"/>
  <c r="M11" i="4"/>
  <c r="F67" i="1"/>
  <c r="H67" i="1"/>
  <c r="I67" i="1"/>
  <c r="J67" i="1"/>
  <c r="D67" i="1"/>
  <c r="G9" i="2" l="1"/>
  <c r="C21" i="2"/>
  <c r="H8" i="2"/>
  <c r="G8" i="2" s="1"/>
  <c r="L10" i="4"/>
  <c r="M10" i="4"/>
  <c r="H9" i="4"/>
  <c r="L9" i="4" s="1"/>
  <c r="H50" i="4"/>
  <c r="L50" i="4" s="1"/>
  <c r="D50" i="4"/>
  <c r="D9" i="4"/>
  <c r="C67" i="1"/>
  <c r="M50" i="4" l="1"/>
  <c r="M9" i="4"/>
  <c r="C50" i="1"/>
  <c r="H50" i="1" l="1"/>
  <c r="F50" i="1"/>
  <c r="J41" i="1"/>
  <c r="I41" i="1"/>
  <c r="F41" i="1"/>
  <c r="F37" i="1"/>
  <c r="G71" i="1"/>
  <c r="H12" i="1"/>
  <c r="J12" i="1"/>
  <c r="G61" i="1" l="1"/>
  <c r="E61" i="1" l="1"/>
  <c r="C27" i="1"/>
  <c r="E71" i="1"/>
  <c r="G70" i="1"/>
  <c r="E70" i="1" s="1"/>
  <c r="G68" i="1"/>
  <c r="G59" i="1"/>
  <c r="G55" i="1"/>
  <c r="E55" i="1" s="1"/>
  <c r="G54" i="1"/>
  <c r="E54" i="1" s="1"/>
  <c r="G53" i="1"/>
  <c r="E53" i="1" s="1"/>
  <c r="G52" i="1"/>
  <c r="E52" i="1" s="1"/>
  <c r="G51" i="1"/>
  <c r="D41" i="1"/>
  <c r="C41" i="1"/>
  <c r="F27" i="1"/>
  <c r="F19" i="1"/>
  <c r="F12" i="1"/>
  <c r="C19" i="1"/>
  <c r="C12" i="1"/>
  <c r="C11" i="1" l="1"/>
  <c r="C10" i="1" s="1"/>
  <c r="F11" i="1"/>
  <c r="F10" i="1" s="1"/>
  <c r="D11" i="1"/>
  <c r="L61" i="1"/>
  <c r="G67" i="1"/>
  <c r="E68" i="1"/>
  <c r="E67" i="1" s="1"/>
  <c r="E51" i="1"/>
  <c r="G50" i="1"/>
  <c r="E59" i="1"/>
  <c r="L59" i="1" s="1"/>
  <c r="B22" i="2"/>
  <c r="E15" i="2"/>
  <c r="E9" i="2" s="1"/>
  <c r="E21" i="2" s="1"/>
  <c r="D15" i="2"/>
  <c r="D9" i="2" s="1"/>
  <c r="D21" i="2" s="1"/>
  <c r="C15" i="2"/>
  <c r="B18" i="2"/>
  <c r="B17" i="2"/>
  <c r="B16" i="2"/>
  <c r="B14" i="2"/>
  <c r="B13" i="2"/>
  <c r="B12" i="2"/>
  <c r="H19" i="1"/>
  <c r="H27" i="1"/>
  <c r="H41" i="1"/>
  <c r="L67" i="1"/>
  <c r="I12" i="1"/>
  <c r="I19" i="1"/>
  <c r="I27" i="1"/>
  <c r="J19" i="1"/>
  <c r="J27" i="1"/>
  <c r="G49" i="1"/>
  <c r="E49" i="1" s="1"/>
  <c r="G48" i="1"/>
  <c r="G47" i="1"/>
  <c r="E47" i="1" s="1"/>
  <c r="G43" i="1"/>
  <c r="E43" i="1" s="1"/>
  <c r="G44" i="1"/>
  <c r="E44" i="1" s="1"/>
  <c r="G45" i="1"/>
  <c r="E45" i="1" s="1"/>
  <c r="K45" i="1" s="1"/>
  <c r="G46" i="1"/>
  <c r="E46" i="1" s="1"/>
  <c r="G42" i="1"/>
  <c r="G39" i="1"/>
  <c r="E39" i="1" s="1"/>
  <c r="G40" i="1"/>
  <c r="E40" i="1" s="1"/>
  <c r="E38" i="1"/>
  <c r="K38" i="1" s="1"/>
  <c r="G36" i="1"/>
  <c r="E36" i="1" s="1"/>
  <c r="G35" i="1"/>
  <c r="E35" i="1" s="1"/>
  <c r="G34" i="1"/>
  <c r="E34" i="1" s="1"/>
  <c r="G29" i="1"/>
  <c r="E29" i="1" s="1"/>
  <c r="K29" i="1" s="1"/>
  <c r="G30" i="1"/>
  <c r="E30" i="1" s="1"/>
  <c r="K30" i="1" s="1"/>
  <c r="G31" i="1"/>
  <c r="E31" i="1" s="1"/>
  <c r="K31" i="1" s="1"/>
  <c r="G32" i="1"/>
  <c r="E32" i="1" s="1"/>
  <c r="K32" i="1" s="1"/>
  <c r="G33" i="1"/>
  <c r="E33" i="1" s="1"/>
  <c r="K33" i="1" s="1"/>
  <c r="G28" i="1"/>
  <c r="E28" i="1" s="1"/>
  <c r="K28" i="1" s="1"/>
  <c r="G21" i="1"/>
  <c r="E21" i="1" s="1"/>
  <c r="G22" i="1"/>
  <c r="G23" i="1"/>
  <c r="E23" i="1" s="1"/>
  <c r="K23" i="1" s="1"/>
  <c r="G24" i="1"/>
  <c r="G25" i="1"/>
  <c r="E25" i="1" s="1"/>
  <c r="K25" i="1" s="1"/>
  <c r="G26" i="1"/>
  <c r="E26" i="1" s="1"/>
  <c r="K26" i="1" s="1"/>
  <c r="G20" i="1"/>
  <c r="G14" i="1"/>
  <c r="E14" i="1" s="1"/>
  <c r="K14" i="1" s="1"/>
  <c r="G15" i="1"/>
  <c r="G16" i="1"/>
  <c r="G17" i="1"/>
  <c r="G18" i="1"/>
  <c r="E18" i="1" s="1"/>
  <c r="K18" i="1" s="1"/>
  <c r="G13" i="1"/>
  <c r="G57" i="1"/>
  <c r="E57" i="1" s="1"/>
  <c r="E56" i="1"/>
  <c r="G60" i="1"/>
  <c r="E60" i="1" s="1"/>
  <c r="L60" i="1" s="1"/>
  <c r="G66" i="1"/>
  <c r="E66" i="1" s="1"/>
  <c r="K70" i="1"/>
  <c r="L68" i="1"/>
  <c r="K68" i="1"/>
  <c r="L70" i="1"/>
  <c r="K67" i="1"/>
  <c r="J11" i="1" l="1"/>
  <c r="J10" i="1" s="1"/>
  <c r="J9" i="1" s="1"/>
  <c r="D10" i="1"/>
  <c r="D9" i="1" s="1"/>
  <c r="F9" i="1"/>
  <c r="E58" i="1"/>
  <c r="L58" i="1" s="1"/>
  <c r="I11" i="1"/>
  <c r="I10" i="1" s="1"/>
  <c r="H11" i="1"/>
  <c r="B11" i="2" s="1"/>
  <c r="G58" i="1"/>
  <c r="E50" i="1"/>
  <c r="L50" i="1" s="1"/>
  <c r="K51" i="1"/>
  <c r="E37" i="1"/>
  <c r="G37" i="1"/>
  <c r="G12" i="1"/>
  <c r="E27" i="1"/>
  <c r="E42" i="1"/>
  <c r="E41" i="1" s="1"/>
  <c r="K41" i="1" s="1"/>
  <c r="G41" i="1"/>
  <c r="E48" i="1"/>
  <c r="B15" i="2"/>
  <c r="C9" i="1"/>
  <c r="G27" i="1"/>
  <c r="G19" i="1"/>
  <c r="E22" i="1"/>
  <c r="K22" i="1" s="1"/>
  <c r="E20" i="1"/>
  <c r="E24" i="1"/>
  <c r="K24" i="1" s="1"/>
  <c r="E15" i="1"/>
  <c r="K15" i="1" s="1"/>
  <c r="E13" i="1"/>
  <c r="K13" i="1" s="1"/>
  <c r="E16" i="1"/>
  <c r="K16" i="1" s="1"/>
  <c r="E17" i="1"/>
  <c r="K17" i="1" s="1"/>
  <c r="L36" i="1"/>
  <c r="K36" i="1"/>
  <c r="L47" i="1"/>
  <c r="K47" i="1"/>
  <c r="K49" i="1"/>
  <c r="L49" i="1"/>
  <c r="E8" i="2"/>
  <c r="L35" i="1"/>
  <c r="K35" i="1"/>
  <c r="K43" i="1"/>
  <c r="L43" i="1"/>
  <c r="L44" i="1"/>
  <c r="K44" i="1"/>
  <c r="D8" i="2"/>
  <c r="G11" i="1" l="1"/>
  <c r="G10" i="1" s="1"/>
  <c r="G9" i="1" s="1"/>
  <c r="K37" i="1"/>
  <c r="C9" i="2"/>
  <c r="H10" i="1"/>
  <c r="H9" i="1" s="1"/>
  <c r="K50" i="1"/>
  <c r="K42" i="1"/>
  <c r="L37" i="1"/>
  <c r="L42" i="1"/>
  <c r="K27" i="1"/>
  <c r="K20" i="1"/>
  <c r="E19" i="1"/>
  <c r="K19" i="1" s="1"/>
  <c r="E12" i="1"/>
  <c r="K12" i="1" s="1"/>
  <c r="I9" i="1"/>
  <c r="L48" i="1"/>
  <c r="K48" i="1"/>
  <c r="L41" i="1"/>
  <c r="L27" i="1"/>
  <c r="E11" i="1" l="1"/>
  <c r="B9" i="2"/>
  <c r="B21" i="2" s="1"/>
  <c r="C8" i="2"/>
  <c r="B8" i="2" s="1"/>
  <c r="L19" i="1"/>
  <c r="L12" i="1"/>
  <c r="K11" i="1" l="1"/>
  <c r="E10" i="1"/>
  <c r="L11" i="1"/>
  <c r="K10" i="1" l="1"/>
  <c r="E9" i="1"/>
  <c r="L10" i="1"/>
  <c r="K9" i="1" l="1"/>
  <c r="L9" i="1"/>
</calcChain>
</file>

<file path=xl/comments1.xml><?xml version="1.0" encoding="utf-8"?>
<comments xmlns="http://schemas.openxmlformats.org/spreadsheetml/2006/main">
  <authors>
    <author>Admin</author>
  </authors>
  <commentLis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Đã trừ 160.440 tr CTMTQG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Cộng thêm 1.093.950 triệu từ nguồn NST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Trả nợ vay TD ưu đãi?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số liệu chi ĐT từ nguồn thu tiền sử dụng đất ---&gt; hỏi lại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Trừ 72079 tr CTMTQG 
Trừ 18 tỷ trợ giá</t>
        </r>
      </text>
    </comment>
    <comment ref="I1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Trừ 93.986 tr CTMTQG</t>
        </r>
      </text>
    </comment>
    <comment ref="D2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xem lại số này thấp hơn DT  giao</t>
        </r>
      </text>
    </comment>
    <comment ref="D2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Điều chỉnh tăng 11 tỷ do DBĐV trc đây TH ở An ninh</t>
        </r>
      </text>
    </comment>
    <comment ref="D2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ĐC giảm 11 tỷ của DBĐV</t>
        </r>
      </text>
    </comment>
    <comment ref="I2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Cộng 3 tỷ (chi viện trợ) cấp cho Sở Ngoại vụ để hỗ trợ cho Lào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Dự toán thu không tách riêng khối HX--&gt; xem lại </t>
        </r>
      </text>
    </comment>
  </commentList>
</comments>
</file>

<file path=xl/sharedStrings.xml><?xml version="1.0" encoding="utf-8"?>
<sst xmlns="http://schemas.openxmlformats.org/spreadsheetml/2006/main" count="262" uniqueCount="223">
  <si>
    <t>STT</t>
  </si>
  <si>
    <t>NSTW</t>
  </si>
  <si>
    <t>NSĐP</t>
  </si>
  <si>
    <t xml:space="preserve">Chia ra </t>
  </si>
  <si>
    <t>NS cấp tỉnh</t>
  </si>
  <si>
    <t>NS cấp huyện</t>
  </si>
  <si>
    <t>NS cấp xã</t>
  </si>
  <si>
    <t>A</t>
  </si>
  <si>
    <t>B</t>
  </si>
  <si>
    <t>3=4+5</t>
  </si>
  <si>
    <t>5=6+7+8</t>
  </si>
  <si>
    <t>9=3/1</t>
  </si>
  <si>
    <t>10=3/2</t>
  </si>
  <si>
    <t xml:space="preserve"> THU CÂN ĐỐI NGÂN SÁCH NHÀ NƯỚC</t>
  </si>
  <si>
    <t>I</t>
  </si>
  <si>
    <t>Thu nội địa</t>
  </si>
  <si>
    <t>Thu từ kinh tế quốc doanh</t>
  </si>
  <si>
    <t>Thu khác</t>
  </si>
  <si>
    <t>Thuế sử dụng đất nông nghiệp</t>
  </si>
  <si>
    <t>Lệ phí trước bạ</t>
  </si>
  <si>
    <t>Thu phí, lệ phí</t>
  </si>
  <si>
    <t>8.1</t>
  </si>
  <si>
    <t>8.2</t>
  </si>
  <si>
    <t>8.3</t>
  </si>
  <si>
    <t>Thu tiền thuê mặt đất, mặt nước</t>
  </si>
  <si>
    <t xml:space="preserve">Thu tiền sử dụng đất </t>
  </si>
  <si>
    <t>Thu khác ngân sách</t>
  </si>
  <si>
    <t>II</t>
  </si>
  <si>
    <t>III</t>
  </si>
  <si>
    <t>Thu Hải quan</t>
  </si>
  <si>
    <t>Thuế giá trị gia tăng hàng nhập khẩu</t>
  </si>
  <si>
    <t>IV</t>
  </si>
  <si>
    <t>Thu kết dư ngân sách năm trước</t>
  </si>
  <si>
    <t>Các khoản huy động đóng góp xây dựng cơ sở hạ tầng</t>
  </si>
  <si>
    <t>C</t>
  </si>
  <si>
    <t>Bổ sung cân đối</t>
  </si>
  <si>
    <t xml:space="preserve">Bổ sung có mục tiêu </t>
  </si>
  <si>
    <t>D</t>
  </si>
  <si>
    <t xml:space="preserve"> THU TỪ NGÂN SÁCH CẤP DƯỚI NỘP LÊN</t>
  </si>
  <si>
    <t>E</t>
  </si>
  <si>
    <t xml:space="preserve">Thu từ doanh nghiệp đầu tư nước ngoài </t>
  </si>
  <si>
    <t>Thuế sử dụng đất phi nông nghiệp</t>
  </si>
  <si>
    <t>Thuế thu nhập cá nhân</t>
  </si>
  <si>
    <t>8.4</t>
  </si>
  <si>
    <t>Thuế bảo vệ môi trường</t>
  </si>
  <si>
    <t>Thu vay đầu tư cơ sở hạ tầng</t>
  </si>
  <si>
    <t>Thu xổ số kiến thiết</t>
  </si>
  <si>
    <t>CHUYỂN NGUỒN</t>
  </si>
  <si>
    <t xml:space="preserve">TỔNG THU NGÂN SÁCH NHÀ NƯỚC </t>
  </si>
  <si>
    <t>Thu tại xã</t>
  </si>
  <si>
    <t>NỘI DUNG CÁC KHOẢN THU</t>
  </si>
  <si>
    <t>TW giao</t>
  </si>
  <si>
    <t>HĐND tỉnh giao</t>
  </si>
  <si>
    <t xml:space="preserve">BTC </t>
  </si>
  <si>
    <t xml:space="preserve">Chia ra từng cấp ngân sách </t>
  </si>
  <si>
    <t>So sánh (QT/DT)</t>
  </si>
  <si>
    <t>Thu từ khu vực CTN  và dịch vụ ngoài QD</t>
  </si>
  <si>
    <t>Thuế XK, NK, thuế TTĐB hàng hóa nhập khẩu</t>
  </si>
  <si>
    <t xml:space="preserve"> CÁC KHOẢN  THU ĐỂ LẠI CHI QUẢN LÝ QUA NSNN</t>
  </si>
  <si>
    <t xml:space="preserve"> Thu bán, thuê, khấu hao, thanh lý nhà ở thuộc SHNN</t>
  </si>
  <si>
    <t>Các khoản thu về nhà, đất và khoáng sản</t>
  </si>
  <si>
    <t>Thuế BVMT do Hải quan thực hiện</t>
  </si>
  <si>
    <t>8.5</t>
  </si>
  <si>
    <t>1.1</t>
  </si>
  <si>
    <t xml:space="preserve">Thuế giá trị gia tăng </t>
  </si>
  <si>
    <t>1.2</t>
  </si>
  <si>
    <t>Thuế tiêu thụ đặc biệt hàng sản xuất trong nước</t>
  </si>
  <si>
    <t>1.3</t>
  </si>
  <si>
    <t>1.4</t>
  </si>
  <si>
    <t>1.5</t>
  </si>
  <si>
    <t>Thuế tài nguyên</t>
  </si>
  <si>
    <t>1.6</t>
  </si>
  <si>
    <t>Thuế môn bài</t>
  </si>
  <si>
    <t>Thu hồi vốn và thu khác</t>
  </si>
  <si>
    <t>2.1</t>
  </si>
  <si>
    <t>2.2</t>
  </si>
  <si>
    <t>2.3</t>
  </si>
  <si>
    <t>Thuế thu nhập doanh nghiệp</t>
  </si>
  <si>
    <t>2.5</t>
  </si>
  <si>
    <t>2.6</t>
  </si>
  <si>
    <t>2.7</t>
  </si>
  <si>
    <t>Thu tiền thuê mặt đất, mặt nước, mặt biển</t>
  </si>
  <si>
    <t>3.1</t>
  </si>
  <si>
    <t>3.2</t>
  </si>
  <si>
    <t>3.3</t>
  </si>
  <si>
    <t>3.4</t>
  </si>
  <si>
    <t>3.5</t>
  </si>
  <si>
    <t>3.6</t>
  </si>
  <si>
    <t>7.1</t>
  </si>
  <si>
    <t>Thu phí, lệ phí Trung ương</t>
  </si>
  <si>
    <t>7.2</t>
  </si>
  <si>
    <t>7.3</t>
  </si>
  <si>
    <t>Thu phí, lệ phí xã, phường, thị trấn</t>
  </si>
  <si>
    <t>2.4</t>
  </si>
  <si>
    <t>Biểu số 03/QTNS</t>
  </si>
  <si>
    <t>TT</t>
  </si>
  <si>
    <t>Các chỉ tiêu</t>
  </si>
  <si>
    <t>So sánh</t>
  </si>
  <si>
    <t>TW</t>
  </si>
  <si>
    <t xml:space="preserve">   Tổng số </t>
  </si>
  <si>
    <t xml:space="preserve">NS Tỉnh </t>
  </si>
  <si>
    <t>NS huyện</t>
  </si>
  <si>
    <t>NS xã</t>
  </si>
  <si>
    <t>Tổng số</t>
  </si>
  <si>
    <t xml:space="preserve">NS Huyện </t>
  </si>
  <si>
    <t>NS Xã</t>
  </si>
  <si>
    <t>Dự toán BTC</t>
  </si>
  <si>
    <t>DT HĐND</t>
  </si>
  <si>
    <t>giao</t>
  </si>
  <si>
    <t xml:space="preserve">TW </t>
  </si>
  <si>
    <t>TØnh</t>
  </si>
  <si>
    <t>4= 5+6+7</t>
  </si>
  <si>
    <t>8=9+10+11</t>
  </si>
  <si>
    <t>12=8/3</t>
  </si>
  <si>
    <t>13=8/4</t>
  </si>
  <si>
    <t>Tổng chi NSĐP (I+II)</t>
  </si>
  <si>
    <t>Chi cân đối ngân sách</t>
  </si>
  <si>
    <t>Chi đầu tư phát triển</t>
  </si>
  <si>
    <t>Chi đầu tư XDCB tỉnh quản lý</t>
  </si>
  <si>
    <t xml:space="preserve"> - Vốn trong nước </t>
  </si>
  <si>
    <t xml:space="preserve"> - Vốn HTĐT các MT từ NSTW, vốn NN, khác</t>
  </si>
  <si>
    <t>Chi từ nguồn thu được để lại theo chế độ quy định</t>
  </si>
  <si>
    <t>Chi thường xuyên</t>
  </si>
  <si>
    <t>Chi sự nghiệp kinh tế</t>
  </si>
  <si>
    <t>Sự nghiệp môi trường</t>
  </si>
  <si>
    <t>Chi sự nghiệp giáo dục-đào tạo</t>
  </si>
  <si>
    <t>Chi sự nghiệp y tế, dân số</t>
  </si>
  <si>
    <t>Chi sự nghiệp VH, TT và DL</t>
  </si>
  <si>
    <t>Chi sự nghiệp phát thanh truyền hình</t>
  </si>
  <si>
    <t>Sự nghiệp KHCN</t>
  </si>
  <si>
    <t>2.8</t>
  </si>
  <si>
    <t>Sự nghiệp ĐBXH</t>
  </si>
  <si>
    <t>2.9</t>
  </si>
  <si>
    <t>Quốc phòng, BP, biên giới</t>
  </si>
  <si>
    <t>2.10</t>
  </si>
  <si>
    <t>An ninh</t>
  </si>
  <si>
    <t>2.11</t>
  </si>
  <si>
    <t>Chi QLHC, Đảng, Đoàn thể, nhiệm vụ khác</t>
  </si>
  <si>
    <t>2.12</t>
  </si>
  <si>
    <t>Chi trợ giá các mặt hàng chính sách</t>
  </si>
  <si>
    <t>2.13</t>
  </si>
  <si>
    <t>Chi khác ngân sách</t>
  </si>
  <si>
    <t>Chi bổ sung quỹ dự trữ tài chính</t>
  </si>
  <si>
    <t>Chi CTMTQG, CT 135, 5 Triệu ha rừng</t>
  </si>
  <si>
    <t>Nguồn cải cách tiền lương, Nghị định 116/CP</t>
  </si>
  <si>
    <t>Chuyển nguồn</t>
  </si>
  <si>
    <t>Dự phòng ngân sách</t>
  </si>
  <si>
    <t>Chi từ nguồn thu để lại quản lý qua NS</t>
  </si>
  <si>
    <t>Các khoản nộp NS cấp trên</t>
  </si>
  <si>
    <t>Chi bổ sung cho ngân sách cấp dưới</t>
  </si>
  <si>
    <t xml:space="preserve"> - Bổ sung cân đối</t>
  </si>
  <si>
    <t xml:space="preserve"> - Bổ sung có mục tiêu</t>
  </si>
  <si>
    <t>Tổng cộng ( I+II+III+IV)</t>
  </si>
  <si>
    <t>Biểu số 01/QTNS</t>
  </si>
  <si>
    <t xml:space="preserve">PHẦN THU </t>
  </si>
  <si>
    <t>Tổng thu NSĐP</t>
  </si>
  <si>
    <t>Thu NS tỉnh</t>
  </si>
  <si>
    <t>Thu NS huyện</t>
  </si>
  <si>
    <t>Thu NS xã</t>
  </si>
  <si>
    <t xml:space="preserve">PHẦN CHI  </t>
  </si>
  <si>
    <t>Tổng chi NSĐP</t>
  </si>
  <si>
    <t>Chi  NS tỉnh</t>
  </si>
  <si>
    <t>Chi  NS huyện</t>
  </si>
  <si>
    <t>Chi  NS xã</t>
  </si>
  <si>
    <t>TỔNG SỐ THU (A+B)</t>
  </si>
  <si>
    <t>TỔNG SỐ CHI  (A+B)</t>
  </si>
  <si>
    <t>A. Tổng thu cân đối NS</t>
  </si>
  <si>
    <t>A. Tổng chi cân đối NS</t>
  </si>
  <si>
    <t>1- Chi đầu tư phát triển</t>
  </si>
  <si>
    <t>2- Các khoản thu phân chia theo tỷ lệ (%)</t>
  </si>
  <si>
    <t>1.1- Chi đầu tư XDCB</t>
  </si>
  <si>
    <t>3- Thu tiền vay đầu tư XDCSHT</t>
  </si>
  <si>
    <t xml:space="preserve">1.2- Chi trả nợ gốc, lãi  theo K3 điều 8 </t>
  </si>
  <si>
    <t>4- Thu kết dư ngân sách</t>
  </si>
  <si>
    <t>2- Chi thường xuyên</t>
  </si>
  <si>
    <t>5- Chuyển nguồn</t>
  </si>
  <si>
    <t>3- Chi bổ sung quỹ dự trữ tài chính</t>
  </si>
  <si>
    <t>6- Thu bổ sung từ ngân sách cấp trên</t>
  </si>
  <si>
    <t>4- Chi bổ sung cho ngân sách cấp dưới</t>
  </si>
  <si>
    <t xml:space="preserve">  - Bổ sung cân đối ngân sách</t>
  </si>
  <si>
    <t>4.1- Chi bổ sung cân đối</t>
  </si>
  <si>
    <t xml:space="preserve">  - Bổ sung có mục tiêu</t>
  </si>
  <si>
    <t>4.2- Chi bổ sung có mục tiêu</t>
  </si>
  <si>
    <t>6- Chi CT MTQG, 135, 5 triệu ha rừng</t>
  </si>
  <si>
    <t>7- Chi NS cấp dưới nộp lên</t>
  </si>
  <si>
    <t xml:space="preserve">Tồn quỹ ngân sách năm quyết toán (thu - chi) </t>
  </si>
  <si>
    <t>B. Các khoản thu để lại quản lý qua NSNN</t>
  </si>
  <si>
    <t>Đơn vị: Triệu đồng</t>
  </si>
  <si>
    <t>Chi trả nợ Bộ Tài chính</t>
  </si>
  <si>
    <t>Biểu số 02/QTNS</t>
  </si>
  <si>
    <t>B. Chi từ nguồn thu để lại quản lý qua NSNN</t>
  </si>
  <si>
    <t xml:space="preserve"> Thu cấp quyền khai thác khoáng sản</t>
  </si>
  <si>
    <t>Thuế bổ sung đối với hàng nhập khẩu vào VN</t>
  </si>
  <si>
    <t>Các khoản đóng góp khác</t>
  </si>
  <si>
    <t>Thu phí, lệ phí tỉnh, huyện</t>
  </si>
  <si>
    <t>1- Các khoản thu hưởng 100%</t>
  </si>
  <si>
    <t>Học phí</t>
  </si>
  <si>
    <t>Phí chợ</t>
  </si>
  <si>
    <r>
      <t>Thuế thu nhập doanh nghiệp</t>
    </r>
    <r>
      <rPr>
        <vertAlign val="superscript"/>
        <sz val="11"/>
        <rFont val="Times New Roman"/>
        <family val="1"/>
      </rPr>
      <t xml:space="preserve"> </t>
    </r>
  </si>
  <si>
    <t>QUYẾT TOÁN THU NGÂN SÁCH NHÀ NƯỚC NĂM 2016</t>
  </si>
  <si>
    <t>Bổ sung để thực hiện chính sách tiền lương theo quy định hiện hành</t>
  </si>
  <si>
    <t>Dự toán năm 2016</t>
  </si>
  <si>
    <t>Thực hiện năm 2016</t>
  </si>
  <si>
    <t>Tịch thu chống lậu</t>
  </si>
  <si>
    <t>BÁO CÁO QUYẾT TOÁN CHI NGÂN SÁCH ĐỊA PHƯƠNG NĂM 2016</t>
  </si>
  <si>
    <t>Dự toán Bộ Tài chính giao 2016</t>
  </si>
  <si>
    <t>Dự toán HĐND 2016</t>
  </si>
  <si>
    <t xml:space="preserve"> Thực hiện 2016</t>
  </si>
  <si>
    <t>Chi các đề án, chính sách, nhiệm vụ khác khối HX quản lý</t>
  </si>
  <si>
    <t>Huy động đóng góp</t>
  </si>
  <si>
    <t>Xây dựng cơ sở hạ tầng</t>
  </si>
  <si>
    <t>Đóng góp khác</t>
  </si>
  <si>
    <t>Xổ số kiến thiết</t>
  </si>
  <si>
    <t>Thu đền bù thiệt hại khi Nhà nước thu hồi đất công</t>
  </si>
  <si>
    <t>Trịch thu chống lậu</t>
  </si>
  <si>
    <t>CÂN ĐỐI QUYẾT TOÁN THU - CHI NGÂN SÁCH ĐỊA PHƯƠNG NĂM 2016</t>
  </si>
  <si>
    <t>7- Thu ngân sách cấp dưới nộp lên</t>
  </si>
  <si>
    <t>Thu đền bù thiệt hại khi nhà nước thu hồi đất công</t>
  </si>
  <si>
    <t>(Ban hành kèm theo Nghị quyết số         /NQ-HĐND ngày     /12/2017 của HĐND tỉnh)</t>
  </si>
  <si>
    <t>HỘI ĐỒNG NHÂN DÂN TỈNH</t>
  </si>
  <si>
    <r>
      <t xml:space="preserve"> THU BỔ SUNG TỪ NGÂN SÁCH CẤP TRÊN</t>
    </r>
    <r>
      <rPr>
        <sz val="11"/>
        <rFont val="Times New Roman"/>
        <family val="1"/>
      </rPr>
      <t xml:space="preserve"> </t>
    </r>
  </si>
  <si>
    <t>(Ban hành kèm theo Nghị quyết số          /NQ-HĐND ngày     /12/2017 của HĐND tỉnh)</t>
  </si>
  <si>
    <t>(Ban hành kèm theo Nghị quyết số           /NQ-HĐND ngày     /12/2017 của HĐND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</si>
</sst>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₫_-;\-* #,##0.00\ _₫_-;_-* &quot;-&quot;??\ _₫_-;_-@_-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63"/>
    </font>
    <font>
      <b/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i/>
      <sz val="14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vertAlign val="superscript"/>
      <sz val="11"/>
      <name val="Times New Roman"/>
      <family val="1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4"/>
      <name val=".VnTime"/>
      <family val="2"/>
    </font>
    <font>
      <sz val="13"/>
      <name val=".VnTime"/>
      <family val="2"/>
    </font>
    <font>
      <i/>
      <sz val="13"/>
      <name val="Times New Roman"/>
      <family val="1"/>
    </font>
    <font>
      <b/>
      <sz val="12"/>
      <name val=".VnTime"/>
      <family val="2"/>
    </font>
    <font>
      <sz val="12"/>
      <name val=".VnTime"/>
      <family val="2"/>
    </font>
    <font>
      <sz val="14"/>
      <name val="Times New Roman"/>
      <family val="1"/>
    </font>
    <font>
      <b/>
      <sz val="11"/>
      <name val="Arial"/>
      <family val="2"/>
    </font>
    <font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6">
    <xf numFmtId="0" fontId="0" fillId="0" borderId="0" xfId="0"/>
    <xf numFmtId="3" fontId="12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3" fontId="3" fillId="3" borderId="1" xfId="0" applyNumberFormat="1" applyFont="1" applyFill="1" applyBorder="1" applyAlignment="1">
      <alignment horizontal="right" wrapText="1"/>
    </xf>
    <xf numFmtId="9" fontId="3" fillId="3" borderId="1" xfId="2" applyFont="1" applyFill="1" applyBorder="1" applyAlignment="1">
      <alignment horizontal="right" wrapText="1"/>
    </xf>
    <xf numFmtId="3" fontId="5" fillId="3" borderId="0" xfId="0" applyNumberFormat="1" applyFont="1" applyFill="1" applyAlignment="1">
      <alignment horizontal="right" wrapText="1"/>
    </xf>
    <xf numFmtId="0" fontId="5" fillId="3" borderId="0" xfId="0" applyFont="1" applyFill="1" applyAlignment="1">
      <alignment wrapText="1"/>
    </xf>
    <xf numFmtId="0" fontId="5" fillId="3" borderId="0" xfId="0" applyFont="1" applyFill="1" applyAlignment="1">
      <alignment horizontal="center" wrapText="1"/>
    </xf>
    <xf numFmtId="0" fontId="3" fillId="3" borderId="1" xfId="0" applyFont="1" applyFill="1" applyBorder="1" applyAlignment="1">
      <alignment wrapText="1"/>
    </xf>
    <xf numFmtId="3" fontId="15" fillId="3" borderId="0" xfId="0" applyNumberFormat="1" applyFont="1" applyFill="1" applyAlignment="1">
      <alignment horizontal="right" wrapText="1"/>
    </xf>
    <xf numFmtId="0" fontId="15" fillId="3" borderId="0" xfId="0" applyFont="1" applyFill="1" applyAlignment="1">
      <alignment wrapText="1"/>
    </xf>
    <xf numFmtId="3" fontId="8" fillId="3" borderId="1" xfId="0" applyNumberFormat="1" applyFont="1" applyFill="1" applyBorder="1" applyAlignment="1">
      <alignment horizontal="right" wrapText="1"/>
    </xf>
    <xf numFmtId="9" fontId="8" fillId="3" borderId="1" xfId="2" applyFont="1" applyFill="1" applyBorder="1" applyAlignment="1">
      <alignment horizontal="right" wrapText="1"/>
    </xf>
    <xf numFmtId="0" fontId="11" fillId="3" borderId="0" xfId="0" applyFont="1" applyFill="1" applyAlignment="1">
      <alignment horizontal="center" wrapText="1"/>
    </xf>
    <xf numFmtId="0" fontId="11" fillId="3" borderId="0" xfId="0" applyFont="1" applyFill="1" applyAlignment="1">
      <alignment wrapText="1"/>
    </xf>
    <xf numFmtId="3" fontId="11" fillId="3" borderId="0" xfId="0" applyNumberFormat="1" applyFont="1" applyFill="1" applyAlignment="1">
      <alignment horizontal="right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left" wrapText="1"/>
    </xf>
    <xf numFmtId="3" fontId="3" fillId="3" borderId="1" xfId="0" applyNumberFormat="1" applyFont="1" applyFill="1" applyBorder="1"/>
    <xf numFmtId="0" fontId="11" fillId="0" borderId="1" xfId="0" applyFont="1" applyBorder="1" applyAlignment="1">
      <alignment wrapText="1"/>
    </xf>
    <xf numFmtId="3" fontId="11" fillId="0" borderId="1" xfId="0" applyNumberFormat="1" applyFont="1" applyFill="1" applyBorder="1" applyAlignment="1">
      <alignment wrapText="1"/>
    </xf>
    <xf numFmtId="0" fontId="8" fillId="3" borderId="0" xfId="0" applyFont="1" applyFill="1" applyAlignment="1">
      <alignment vertical="center" wrapText="1"/>
    </xf>
    <xf numFmtId="0" fontId="22" fillId="0" borderId="0" xfId="0" applyFont="1"/>
    <xf numFmtId="3" fontId="23" fillId="0" borderId="0" xfId="0" applyNumberFormat="1" applyFont="1"/>
    <xf numFmtId="3" fontId="24" fillId="0" borderId="2" xfId="0" applyNumberFormat="1" applyFont="1" applyBorder="1" applyAlignment="1"/>
    <xf numFmtId="0" fontId="14" fillId="0" borderId="2" xfId="0" applyFont="1" applyBorder="1" applyAlignment="1"/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wrapText="1"/>
    </xf>
    <xf numFmtId="3" fontId="12" fillId="2" borderId="1" xfId="0" applyNumberFormat="1" applyFont="1" applyFill="1" applyBorder="1" applyAlignment="1">
      <alignment wrapText="1"/>
    </xf>
    <xf numFmtId="0" fontId="26" fillId="0" borderId="0" xfId="0" applyFont="1" applyAlignment="1">
      <alignment wrapText="1"/>
    </xf>
    <xf numFmtId="0" fontId="12" fillId="0" borderId="1" xfId="0" applyFont="1" applyBorder="1" applyAlignment="1">
      <alignment horizontal="left" wrapText="1"/>
    </xf>
    <xf numFmtId="3" fontId="11" fillId="0" borderId="1" xfId="0" applyNumberFormat="1" applyFont="1" applyBorder="1" applyAlignment="1">
      <alignment wrapText="1"/>
    </xf>
    <xf numFmtId="3" fontId="11" fillId="2" borderId="1" xfId="0" applyNumberFormat="1" applyFont="1" applyFill="1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3" fontId="26" fillId="0" borderId="0" xfId="0" applyNumberFormat="1" applyFont="1" applyAlignment="1">
      <alignment wrapText="1"/>
    </xf>
    <xf numFmtId="0" fontId="25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25" fillId="0" borderId="0" xfId="0" applyFont="1" applyAlignment="1">
      <alignment wrapText="1"/>
    </xf>
    <xf numFmtId="0" fontId="12" fillId="0" borderId="1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2" borderId="0" xfId="0" applyFont="1" applyFill="1" applyAlignment="1"/>
    <xf numFmtId="0" fontId="26" fillId="0" borderId="0" xfId="0" applyFont="1"/>
    <xf numFmtId="3" fontId="26" fillId="0" borderId="0" xfId="0" applyNumberFormat="1" applyFont="1"/>
    <xf numFmtId="0" fontId="27" fillId="0" borderId="0" xfId="0" applyFont="1"/>
    <xf numFmtId="0" fontId="21" fillId="3" borderId="0" xfId="0" applyFont="1" applyFill="1"/>
    <xf numFmtId="0" fontId="28" fillId="3" borderId="0" xfId="0" applyFont="1" applyFill="1"/>
    <xf numFmtId="0" fontId="1" fillId="3" borderId="0" xfId="0" applyFont="1" applyFill="1"/>
    <xf numFmtId="3" fontId="1" fillId="3" borderId="0" xfId="0" applyNumberFormat="1" applyFont="1" applyFill="1"/>
    <xf numFmtId="0" fontId="12" fillId="0" borderId="1" xfId="0" applyFont="1" applyBorder="1" applyAlignment="1">
      <alignment horizontal="center" vertical="center" wrapText="1"/>
    </xf>
    <xf numFmtId="0" fontId="1" fillId="3" borderId="0" xfId="3" applyFont="1" applyFill="1" applyAlignment="1">
      <alignment wrapText="1"/>
    </xf>
    <xf numFmtId="0" fontId="18" fillId="3" borderId="0" xfId="3" applyFont="1" applyFill="1" applyAlignment="1">
      <alignment wrapText="1"/>
    </xf>
    <xf numFmtId="0" fontId="5" fillId="3" borderId="0" xfId="3" applyFont="1" applyFill="1" applyAlignment="1">
      <alignment horizontal="center" wrapText="1"/>
    </xf>
    <xf numFmtId="3" fontId="5" fillId="3" borderId="0" xfId="3" applyNumberFormat="1" applyFont="1" applyFill="1" applyAlignment="1">
      <alignment wrapText="1"/>
    </xf>
    <xf numFmtId="3" fontId="6" fillId="3" borderId="2" xfId="3" applyNumberFormat="1" applyFont="1" applyFill="1" applyBorder="1" applyAlignment="1">
      <alignment wrapText="1"/>
    </xf>
    <xf numFmtId="0" fontId="6" fillId="3" borderId="2" xfId="3" applyFont="1" applyFill="1" applyBorder="1" applyAlignment="1">
      <alignment wrapText="1"/>
    </xf>
    <xf numFmtId="3" fontId="21" fillId="3" borderId="0" xfId="0" applyNumberFormat="1" applyFont="1" applyFill="1"/>
    <xf numFmtId="0" fontId="3" fillId="3" borderId="1" xfId="3" applyFont="1" applyFill="1" applyBorder="1" applyAlignment="1">
      <alignment horizontal="center" wrapText="1"/>
    </xf>
    <xf numFmtId="0" fontId="8" fillId="3" borderId="1" xfId="3" applyFont="1" applyFill="1" applyBorder="1" applyAlignment="1">
      <alignment horizontal="center" wrapText="1"/>
    </xf>
    <xf numFmtId="3" fontId="8" fillId="3" borderId="1" xfId="3" applyNumberFormat="1" applyFont="1" applyFill="1" applyBorder="1" applyAlignment="1">
      <alignment wrapText="1"/>
    </xf>
    <xf numFmtId="9" fontId="8" fillId="3" borderId="1" xfId="3" applyNumberFormat="1" applyFont="1" applyFill="1" applyBorder="1" applyAlignment="1">
      <alignment wrapText="1"/>
    </xf>
    <xf numFmtId="0" fontId="8" fillId="3" borderId="1" xfId="3" applyFont="1" applyFill="1" applyBorder="1" applyAlignment="1">
      <alignment horizontal="left" wrapText="1"/>
    </xf>
    <xf numFmtId="3" fontId="8" fillId="3" borderId="1" xfId="3" applyNumberFormat="1" applyFont="1" applyFill="1" applyBorder="1" applyAlignment="1">
      <alignment horizontal="right" wrapText="1"/>
    </xf>
    <xf numFmtId="0" fontId="8" fillId="3" borderId="1" xfId="3" applyFont="1" applyFill="1" applyBorder="1" applyAlignment="1">
      <alignment wrapText="1"/>
    </xf>
    <xf numFmtId="0" fontId="3" fillId="3" borderId="1" xfId="3" applyFont="1" applyFill="1" applyBorder="1" applyAlignment="1">
      <alignment wrapText="1"/>
    </xf>
    <xf numFmtId="3" fontId="3" fillId="3" borderId="1" xfId="3" applyNumberFormat="1" applyFont="1" applyFill="1" applyBorder="1" applyAlignment="1">
      <alignment wrapText="1"/>
    </xf>
    <xf numFmtId="0" fontId="16" fillId="3" borderId="1" xfId="3" applyFont="1" applyFill="1" applyBorder="1" applyAlignment="1">
      <alignment horizontal="center" wrapText="1"/>
    </xf>
    <xf numFmtId="0" fontId="7" fillId="3" borderId="1" xfId="3" applyFont="1" applyFill="1" applyBorder="1" applyAlignment="1">
      <alignment wrapText="1"/>
    </xf>
    <xf numFmtId="3" fontId="7" fillId="3" borderId="1" xfId="3" applyNumberFormat="1" applyFont="1" applyFill="1" applyBorder="1" applyAlignment="1">
      <alignment wrapText="1"/>
    </xf>
    <xf numFmtId="3" fontId="28" fillId="3" borderId="0" xfId="0" applyNumberFormat="1" applyFont="1" applyFill="1"/>
    <xf numFmtId="0" fontId="8" fillId="3" borderId="0" xfId="3" applyFont="1" applyFill="1" applyBorder="1" applyAlignment="1">
      <alignment horizontal="center" wrapText="1"/>
    </xf>
    <xf numFmtId="3" fontId="8" fillId="3" borderId="0" xfId="3" applyNumberFormat="1" applyFont="1" applyFill="1" applyBorder="1" applyAlignment="1">
      <alignment wrapText="1"/>
    </xf>
    <xf numFmtId="3" fontId="4" fillId="3" borderId="0" xfId="3" applyNumberFormat="1" applyFont="1" applyFill="1" applyAlignment="1">
      <alignment horizontal="center" vertical="center" wrapText="1"/>
    </xf>
    <xf numFmtId="3" fontId="14" fillId="3" borderId="0" xfId="3" applyNumberFormat="1" applyFont="1" applyFill="1" applyAlignment="1">
      <alignment horizontal="center" vertical="center" wrapText="1"/>
    </xf>
    <xf numFmtId="3" fontId="7" fillId="3" borderId="0" xfId="3" applyNumberFormat="1" applyFont="1" applyFill="1" applyBorder="1" applyAlignment="1">
      <alignment horizontal="right" wrapText="1"/>
    </xf>
    <xf numFmtId="3" fontId="8" fillId="3" borderId="0" xfId="3" applyNumberFormat="1" applyFont="1" applyFill="1" applyBorder="1" applyAlignment="1">
      <alignment horizontal="center" vertical="center" wrapText="1"/>
    </xf>
    <xf numFmtId="3" fontId="3" fillId="3" borderId="0" xfId="3" applyNumberFormat="1" applyFont="1" applyFill="1" applyBorder="1" applyAlignment="1">
      <alignment horizontal="center" vertical="center" wrapText="1"/>
    </xf>
    <xf numFmtId="9" fontId="16" fillId="3" borderId="1" xfId="3" applyNumberFormat="1" applyFont="1" applyFill="1" applyBorder="1" applyAlignment="1">
      <alignment wrapText="1"/>
    </xf>
    <xf numFmtId="3" fontId="16" fillId="3" borderId="0" xfId="3" applyNumberFormat="1" applyFont="1" applyFill="1" applyBorder="1" applyAlignment="1">
      <alignment wrapText="1"/>
    </xf>
    <xf numFmtId="3" fontId="29" fillId="3" borderId="0" xfId="0" applyNumberFormat="1" applyFont="1" applyFill="1"/>
    <xf numFmtId="0" fontId="29" fillId="3" borderId="0" xfId="0" applyFont="1" applyFill="1"/>
    <xf numFmtId="3" fontId="7" fillId="3" borderId="1" xfId="3" applyNumberFormat="1" applyFont="1" applyFill="1" applyBorder="1" applyAlignment="1">
      <alignment horizontal="right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10" fillId="3" borderId="0" xfId="3" applyNumberFormat="1" applyFont="1" applyFill="1" applyBorder="1" applyAlignment="1">
      <alignment horizontal="right" wrapText="1"/>
    </xf>
    <xf numFmtId="0" fontId="8" fillId="3" borderId="1" xfId="3" applyFont="1" applyFill="1" applyBorder="1" applyAlignment="1">
      <alignment horizontal="center" vertical="center" wrapText="1"/>
    </xf>
    <xf numFmtId="0" fontId="3" fillId="3" borderId="0" xfId="0" applyFont="1" applyFill="1" applyAlignment="1">
      <alignment wrapText="1"/>
    </xf>
    <xf numFmtId="0" fontId="8" fillId="3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13" fillId="0" borderId="2" xfId="0" applyFont="1" applyBorder="1" applyAlignment="1">
      <alignment horizontal="right"/>
    </xf>
    <xf numFmtId="0" fontId="14" fillId="0" borderId="0" xfId="0" applyFont="1" applyAlignment="1">
      <alignment horizontal="center"/>
    </xf>
    <xf numFmtId="3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right" wrapText="1"/>
    </xf>
    <xf numFmtId="0" fontId="4" fillId="3" borderId="0" xfId="0" applyFont="1" applyFill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wrapText="1"/>
    </xf>
    <xf numFmtId="3" fontId="13" fillId="3" borderId="2" xfId="0" applyNumberFormat="1" applyFont="1" applyFill="1" applyBorder="1" applyAlignment="1">
      <alignment horizontal="right" wrapText="1"/>
    </xf>
    <xf numFmtId="0" fontId="8" fillId="3" borderId="5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3" fontId="10" fillId="3" borderId="0" xfId="3" applyNumberFormat="1" applyFont="1" applyFill="1" applyBorder="1" applyAlignment="1">
      <alignment horizontal="right" wrapText="1"/>
    </xf>
    <xf numFmtId="0" fontId="4" fillId="3" borderId="0" xfId="3" applyFont="1" applyFill="1" applyAlignment="1">
      <alignment horizontal="center" vertical="center" wrapText="1"/>
    </xf>
    <xf numFmtId="0" fontId="14" fillId="3" borderId="0" xfId="3" applyFont="1" applyFill="1" applyAlignment="1">
      <alignment horizontal="center" vertical="center" wrapText="1"/>
    </xf>
    <xf numFmtId="0" fontId="7" fillId="3" borderId="2" xfId="3" applyFont="1" applyFill="1" applyBorder="1" applyAlignment="1">
      <alignment horizontal="right" wrapText="1"/>
    </xf>
    <xf numFmtId="0" fontId="3" fillId="3" borderId="8" xfId="3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</cellXfs>
  <cellStyles count="4">
    <cellStyle name="Comma 14" xfId="1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zoomScale="85" zoomScaleNormal="85" workbookViewId="0">
      <selection activeCell="D7" sqref="D7"/>
    </sheetView>
  </sheetViews>
  <sheetFormatPr defaultColWidth="9.109375" defaultRowHeight="17.399999999999999" x14ac:dyDescent="0.3"/>
  <cols>
    <col min="1" max="1" width="42" style="24" customWidth="1"/>
    <col min="2" max="2" width="13.109375" style="24" customWidth="1"/>
    <col min="3" max="3" width="13.88671875" style="24" customWidth="1"/>
    <col min="4" max="4" width="14.88671875" style="24" customWidth="1"/>
    <col min="5" max="5" width="13.88671875" style="24" customWidth="1"/>
    <col min="6" max="6" width="38.6640625" style="24" customWidth="1"/>
    <col min="7" max="7" width="15" style="24" customWidth="1"/>
    <col min="8" max="8" width="14.44140625" style="24" customWidth="1"/>
    <col min="9" max="9" width="14.6640625" style="24" customWidth="1"/>
    <col min="10" max="10" width="13.6640625" style="24" customWidth="1"/>
    <col min="11" max="11" width="14.44140625" style="24" customWidth="1"/>
    <col min="12" max="16384" width="9.109375" style="24"/>
  </cols>
  <sheetData>
    <row r="1" spans="1:13" x14ac:dyDescent="0.3">
      <c r="B1" s="25"/>
      <c r="C1" s="25"/>
      <c r="D1" s="25"/>
      <c r="E1" s="25"/>
      <c r="H1" s="94" t="s">
        <v>153</v>
      </c>
      <c r="I1" s="94"/>
      <c r="J1" s="94"/>
    </row>
    <row r="2" spans="1:13" ht="26.25" customHeight="1" x14ac:dyDescent="0.3">
      <c r="A2" s="95" t="s">
        <v>215</v>
      </c>
      <c r="B2" s="95"/>
      <c r="C2" s="95"/>
      <c r="D2" s="95"/>
      <c r="E2" s="95"/>
      <c r="F2" s="95"/>
      <c r="G2" s="95"/>
      <c r="H2" s="95"/>
      <c r="I2" s="95"/>
      <c r="J2" s="95"/>
    </row>
    <row r="3" spans="1:13" ht="21" customHeight="1" x14ac:dyDescent="0.35">
      <c r="A3" s="97" t="s">
        <v>221</v>
      </c>
      <c r="B3" s="97"/>
      <c r="C3" s="97"/>
      <c r="D3" s="97"/>
      <c r="E3" s="97"/>
      <c r="F3" s="97"/>
      <c r="G3" s="97"/>
      <c r="H3" s="97"/>
      <c r="I3" s="97"/>
      <c r="J3" s="97"/>
    </row>
    <row r="4" spans="1:13" ht="18" x14ac:dyDescent="0.35">
      <c r="B4" s="26"/>
      <c r="C4" s="26"/>
      <c r="D4" s="26"/>
      <c r="E4" s="26"/>
      <c r="F4" s="27"/>
      <c r="G4" s="96" t="s">
        <v>187</v>
      </c>
      <c r="H4" s="96"/>
      <c r="I4" s="96"/>
      <c r="J4" s="96"/>
    </row>
    <row r="5" spans="1:13" s="28" customFormat="1" ht="15.6" x14ac:dyDescent="0.3">
      <c r="A5" s="93" t="s">
        <v>154</v>
      </c>
      <c r="B5" s="93" t="s">
        <v>155</v>
      </c>
      <c r="C5" s="93" t="s">
        <v>156</v>
      </c>
      <c r="D5" s="93" t="s">
        <v>157</v>
      </c>
      <c r="E5" s="93" t="s">
        <v>158</v>
      </c>
      <c r="F5" s="93" t="s">
        <v>159</v>
      </c>
      <c r="G5" s="93" t="s">
        <v>160</v>
      </c>
      <c r="H5" s="93" t="s">
        <v>161</v>
      </c>
      <c r="I5" s="93" t="s">
        <v>162</v>
      </c>
      <c r="J5" s="93" t="s">
        <v>163</v>
      </c>
    </row>
    <row r="6" spans="1:13" s="28" customFormat="1" ht="27.75" customHeigh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</row>
    <row r="7" spans="1:13" s="30" customFormat="1" ht="27.9" customHeight="1" x14ac:dyDescent="0.25">
      <c r="A7" s="53" t="s">
        <v>7</v>
      </c>
      <c r="B7" s="29">
        <v>1</v>
      </c>
      <c r="C7" s="29">
        <v>2</v>
      </c>
      <c r="D7" s="29">
        <v>3</v>
      </c>
      <c r="E7" s="29">
        <v>4</v>
      </c>
      <c r="F7" s="29" t="s">
        <v>8</v>
      </c>
      <c r="G7" s="29">
        <v>1</v>
      </c>
      <c r="H7" s="29">
        <v>2</v>
      </c>
      <c r="I7" s="29">
        <v>3</v>
      </c>
      <c r="J7" s="29">
        <v>4</v>
      </c>
    </row>
    <row r="8" spans="1:13" s="33" customFormat="1" ht="27.9" customHeight="1" x14ac:dyDescent="0.3">
      <c r="A8" s="31" t="s">
        <v>164</v>
      </c>
      <c r="B8" s="32">
        <f t="shared" ref="B8:B18" si="0">C8+D8+E8</f>
        <v>24418527.638500001</v>
      </c>
      <c r="C8" s="32">
        <f>C9+C22</f>
        <v>14426094.4965</v>
      </c>
      <c r="D8" s="32">
        <f>D9+D22</f>
        <v>6746648.2290000003</v>
      </c>
      <c r="E8" s="32">
        <f>E9+E22</f>
        <v>3245784.9129999997</v>
      </c>
      <c r="F8" s="31" t="s">
        <v>165</v>
      </c>
      <c r="G8" s="1">
        <f>SUM(H8:J8)</f>
        <v>24307735.600000001</v>
      </c>
      <c r="H8" s="1">
        <f>H9+H22</f>
        <v>14343622.6</v>
      </c>
      <c r="I8" s="1">
        <f t="shared" ref="I8:J8" si="1">I9+I22</f>
        <v>6735692</v>
      </c>
      <c r="J8" s="1">
        <f t="shared" si="1"/>
        <v>3228421</v>
      </c>
    </row>
    <row r="9" spans="1:13" s="33" customFormat="1" ht="27.9" customHeight="1" x14ac:dyDescent="0.3">
      <c r="A9" s="34" t="s">
        <v>166</v>
      </c>
      <c r="B9" s="32">
        <f t="shared" si="0"/>
        <v>23980463.638500001</v>
      </c>
      <c r="C9" s="32">
        <f>C10+C11+C12+C13+C14+C15+C18</f>
        <v>14375080.4965</v>
      </c>
      <c r="D9" s="32">
        <f t="shared" ref="D9:E9" si="2">D10+D11+D12+D13+D14+D15+D18</f>
        <v>6669085.2290000003</v>
      </c>
      <c r="E9" s="32">
        <f t="shared" si="2"/>
        <v>2936297.9129999997</v>
      </c>
      <c r="F9" s="34" t="s">
        <v>167</v>
      </c>
      <c r="G9" s="1">
        <f>SUM(H9:J9)</f>
        <v>23869671.600000001</v>
      </c>
      <c r="H9" s="1">
        <f>H10+H13+H14+H15+H18+H19+H20</f>
        <v>14292608.6</v>
      </c>
      <c r="I9" s="1">
        <f t="shared" ref="I9:J9" si="3">I10+I13+I14+I15+I18+I19+I20</f>
        <v>6658129</v>
      </c>
      <c r="J9" s="1">
        <f t="shared" si="3"/>
        <v>2918934</v>
      </c>
      <c r="K9" s="33">
        <v>3178764</v>
      </c>
      <c r="L9" s="33">
        <v>325355</v>
      </c>
      <c r="M9" s="33">
        <v>864356</v>
      </c>
    </row>
    <row r="10" spans="1:13" s="33" customFormat="1" ht="27" customHeight="1" x14ac:dyDescent="0.3">
      <c r="A10" s="21" t="s">
        <v>195</v>
      </c>
      <c r="B10" s="22">
        <f>C10+D10+E10</f>
        <v>1720778.5</v>
      </c>
      <c r="C10" s="22">
        <v>1666715.5</v>
      </c>
      <c r="D10" s="22">
        <v>43381</v>
      </c>
      <c r="E10" s="22">
        <v>10682</v>
      </c>
      <c r="F10" s="21" t="s">
        <v>168</v>
      </c>
      <c r="G10" s="35">
        <f t="shared" ref="G10:G22" si="4">SUM(H10:J10)</f>
        <v>4368474.5999999996</v>
      </c>
      <c r="H10" s="36">
        <f>H11+H12</f>
        <v>3178763.6</v>
      </c>
      <c r="I10" s="36">
        <f>I11+I12</f>
        <v>325355</v>
      </c>
      <c r="J10" s="36">
        <f>J11+J12</f>
        <v>864356</v>
      </c>
      <c r="K10" s="39">
        <f>K9-H12</f>
        <v>3047914</v>
      </c>
    </row>
    <row r="11" spans="1:13" s="33" customFormat="1" ht="29.25" customHeight="1" x14ac:dyDescent="0.3">
      <c r="A11" s="21" t="s">
        <v>169</v>
      </c>
      <c r="B11" s="22">
        <f>C11+D11+E11</f>
        <v>3602154.8054999998</v>
      </c>
      <c r="C11" s="22">
        <v>2255074.9964999999</v>
      </c>
      <c r="D11" s="22">
        <v>830456.98</v>
      </c>
      <c r="E11" s="22">
        <v>516622.82900000003</v>
      </c>
      <c r="F11" s="21" t="s">
        <v>170</v>
      </c>
      <c r="G11" s="35">
        <f t="shared" si="4"/>
        <v>4237624.5999999996</v>
      </c>
      <c r="H11" s="36">
        <v>3047913.6</v>
      </c>
      <c r="I11" s="36">
        <v>325355</v>
      </c>
      <c r="J11" s="36">
        <v>864356</v>
      </c>
    </row>
    <row r="12" spans="1:13" s="33" customFormat="1" ht="28.5" customHeight="1" x14ac:dyDescent="0.3">
      <c r="A12" s="21" t="s">
        <v>171</v>
      </c>
      <c r="B12" s="22">
        <f t="shared" si="0"/>
        <v>35000</v>
      </c>
      <c r="C12" s="22">
        <v>35000</v>
      </c>
      <c r="D12" s="22"/>
      <c r="E12" s="22"/>
      <c r="F12" s="37" t="s">
        <v>172</v>
      </c>
      <c r="G12" s="35">
        <f t="shared" si="4"/>
        <v>130850</v>
      </c>
      <c r="H12" s="36">
        <v>130850</v>
      </c>
      <c r="I12" s="36"/>
      <c r="J12" s="36"/>
    </row>
    <row r="13" spans="1:13" s="33" customFormat="1" ht="27.9" customHeight="1" x14ac:dyDescent="0.3">
      <c r="A13" s="21" t="s">
        <v>173</v>
      </c>
      <c r="B13" s="22">
        <f t="shared" si="0"/>
        <v>85525.548999999999</v>
      </c>
      <c r="C13" s="22">
        <v>47988</v>
      </c>
      <c r="D13" s="22">
        <v>13342.549000000001</v>
      </c>
      <c r="E13" s="22">
        <v>24195</v>
      </c>
      <c r="F13" s="21" t="s">
        <v>174</v>
      </c>
      <c r="G13" s="35">
        <f t="shared" si="4"/>
        <v>7641258</v>
      </c>
      <c r="H13" s="36">
        <v>2334856</v>
      </c>
      <c r="I13" s="36">
        <v>3415559</v>
      </c>
      <c r="J13" s="36">
        <v>1890843</v>
      </c>
    </row>
    <row r="14" spans="1:13" s="33" customFormat="1" ht="27" customHeight="1" x14ac:dyDescent="0.3">
      <c r="A14" s="21" t="s">
        <v>175</v>
      </c>
      <c r="B14" s="22">
        <f t="shared" si="0"/>
        <v>3918568</v>
      </c>
      <c r="C14" s="22">
        <v>3421374</v>
      </c>
      <c r="D14" s="22">
        <v>370186</v>
      </c>
      <c r="E14" s="22">
        <v>127008</v>
      </c>
      <c r="F14" s="21" t="s">
        <v>176</v>
      </c>
      <c r="G14" s="35">
        <f t="shared" si="4"/>
        <v>1340</v>
      </c>
      <c r="H14" s="36">
        <f>'Chi ngân sách'!I31</f>
        <v>1340</v>
      </c>
      <c r="I14" s="36"/>
      <c r="J14" s="36"/>
    </row>
    <row r="15" spans="1:13" s="33" customFormat="1" ht="27" customHeight="1" x14ac:dyDescent="0.3">
      <c r="A15" s="21" t="s">
        <v>177</v>
      </c>
      <c r="B15" s="22">
        <f t="shared" si="0"/>
        <v>14609689.783999998</v>
      </c>
      <c r="C15" s="22">
        <f>C16+C17</f>
        <v>6948928</v>
      </c>
      <c r="D15" s="22">
        <f>D16+D17</f>
        <v>5402971.7000000002</v>
      </c>
      <c r="E15" s="22">
        <f>E16+E17</f>
        <v>2257790.0839999998</v>
      </c>
      <c r="F15" s="38" t="s">
        <v>178</v>
      </c>
      <c r="G15" s="35">
        <f t="shared" si="4"/>
        <v>7660762</v>
      </c>
      <c r="H15" s="36">
        <f>H16+H17</f>
        <v>5402972</v>
      </c>
      <c r="I15" s="36">
        <f>I16+I17</f>
        <v>2257790</v>
      </c>
      <c r="J15" s="36"/>
      <c r="K15" s="39"/>
    </row>
    <row r="16" spans="1:13" s="33" customFormat="1" ht="27.9" customHeight="1" x14ac:dyDescent="0.3">
      <c r="A16" s="21" t="s">
        <v>179</v>
      </c>
      <c r="B16" s="22">
        <f t="shared" si="0"/>
        <v>8207777</v>
      </c>
      <c r="C16" s="22">
        <v>3261673</v>
      </c>
      <c r="D16" s="22">
        <v>4024762</v>
      </c>
      <c r="E16" s="22">
        <v>921342</v>
      </c>
      <c r="F16" s="21" t="s">
        <v>180</v>
      </c>
      <c r="G16" s="35">
        <f t="shared" si="4"/>
        <v>4946362</v>
      </c>
      <c r="H16" s="36">
        <v>4024762</v>
      </c>
      <c r="I16" s="36">
        <v>921600</v>
      </c>
      <c r="J16" s="36"/>
    </row>
    <row r="17" spans="1:10" s="33" customFormat="1" ht="27.9" customHeight="1" x14ac:dyDescent="0.3">
      <c r="A17" s="21" t="s">
        <v>181</v>
      </c>
      <c r="B17" s="22">
        <f t="shared" si="0"/>
        <v>6401912.784</v>
      </c>
      <c r="C17" s="22">
        <v>3687255</v>
      </c>
      <c r="D17" s="22">
        <v>1378209.7</v>
      </c>
      <c r="E17" s="22">
        <v>1336448.084</v>
      </c>
      <c r="F17" s="21" t="s">
        <v>182</v>
      </c>
      <c r="G17" s="35">
        <f t="shared" si="4"/>
        <v>2714400</v>
      </c>
      <c r="H17" s="36">
        <v>1378210</v>
      </c>
      <c r="I17" s="36">
        <v>1336190</v>
      </c>
      <c r="J17" s="36"/>
    </row>
    <row r="18" spans="1:10" s="33" customFormat="1" ht="27.9" customHeight="1" x14ac:dyDescent="0.3">
      <c r="A18" s="21" t="s">
        <v>216</v>
      </c>
      <c r="B18" s="22">
        <f t="shared" si="0"/>
        <v>8747</v>
      </c>
      <c r="C18" s="22"/>
      <c r="D18" s="22">
        <v>8747</v>
      </c>
      <c r="E18" s="22"/>
      <c r="F18" s="21" t="s">
        <v>175</v>
      </c>
      <c r="G18" s="35">
        <f t="shared" si="4"/>
        <v>3949890</v>
      </c>
      <c r="H18" s="36">
        <v>3135477</v>
      </c>
      <c r="I18" s="36">
        <v>659425</v>
      </c>
      <c r="J18" s="36">
        <v>154988</v>
      </c>
    </row>
    <row r="19" spans="1:10" s="42" customFormat="1" ht="37.5" customHeight="1" x14ac:dyDescent="0.3">
      <c r="A19" s="40"/>
      <c r="B19" s="32"/>
      <c r="C19" s="40"/>
      <c r="D19" s="40"/>
      <c r="E19" s="40"/>
      <c r="F19" s="41" t="s">
        <v>183</v>
      </c>
      <c r="G19" s="1">
        <f t="shared" si="4"/>
        <v>239200</v>
      </c>
      <c r="H19" s="32">
        <v>239200</v>
      </c>
      <c r="I19" s="32"/>
      <c r="J19" s="32"/>
    </row>
    <row r="20" spans="1:10" s="33" customFormat="1" ht="27.9" customHeight="1" x14ac:dyDescent="0.3">
      <c r="A20" s="31"/>
      <c r="B20" s="32"/>
      <c r="C20" s="32"/>
      <c r="D20" s="32"/>
      <c r="E20" s="32"/>
      <c r="F20" s="43" t="s">
        <v>184</v>
      </c>
      <c r="G20" s="1">
        <f t="shared" si="4"/>
        <v>8747</v>
      </c>
      <c r="H20" s="35"/>
      <c r="I20" s="36"/>
      <c r="J20" s="32">
        <v>8747</v>
      </c>
    </row>
    <row r="21" spans="1:10" s="44" customFormat="1" ht="39" customHeight="1" x14ac:dyDescent="0.3">
      <c r="A21" s="41" t="s">
        <v>185</v>
      </c>
      <c r="B21" s="32">
        <f>B9-G9</f>
        <v>110792.03849999979</v>
      </c>
      <c r="C21" s="32">
        <f>C9-H9</f>
        <v>82471.89650000073</v>
      </c>
      <c r="D21" s="32">
        <f>D9-I9</f>
        <v>10956.229000000283</v>
      </c>
      <c r="E21" s="32">
        <f>E9-J9</f>
        <v>17363.912999999709</v>
      </c>
      <c r="F21" s="38"/>
      <c r="G21" s="1">
        <f t="shared" si="4"/>
        <v>0</v>
      </c>
      <c r="H21" s="35"/>
      <c r="I21" s="35"/>
      <c r="J21" s="35"/>
    </row>
    <row r="22" spans="1:10" s="33" customFormat="1" ht="37.5" customHeight="1" x14ac:dyDescent="0.3">
      <c r="A22" s="34" t="s">
        <v>186</v>
      </c>
      <c r="B22" s="32">
        <f>C22+D22+E22</f>
        <v>438064</v>
      </c>
      <c r="C22" s="32">
        <v>51014</v>
      </c>
      <c r="D22" s="32">
        <v>77563</v>
      </c>
      <c r="E22" s="32">
        <v>309487</v>
      </c>
      <c r="F22" s="41" t="s">
        <v>190</v>
      </c>
      <c r="G22" s="1">
        <f t="shared" si="4"/>
        <v>438064</v>
      </c>
      <c r="H22" s="32">
        <f>'Chi ngân sách'!I37</f>
        <v>51014</v>
      </c>
      <c r="I22" s="32">
        <f>'Chi ngân sách'!J37</f>
        <v>77563</v>
      </c>
      <c r="J22" s="32">
        <f>'Chi ngân sách'!K37</f>
        <v>309487</v>
      </c>
    </row>
    <row r="23" spans="1:10" ht="15.75" customHeight="1" x14ac:dyDescent="0.3">
      <c r="G23" s="45"/>
    </row>
    <row r="24" spans="1:10" s="46" customFormat="1" ht="22.5" customHeight="1" x14ac:dyDescent="0.3">
      <c r="B24" s="47"/>
      <c r="G24" s="92" t="s">
        <v>219</v>
      </c>
      <c r="H24" s="92"/>
      <c r="I24" s="92"/>
      <c r="J24" s="92"/>
    </row>
    <row r="25" spans="1:10" ht="18" x14ac:dyDescent="0.35">
      <c r="G25" s="48"/>
    </row>
    <row r="26" spans="1:10" ht="18" x14ac:dyDescent="0.35">
      <c r="G26" s="48"/>
    </row>
    <row r="27" spans="1:10" ht="18" x14ac:dyDescent="0.35">
      <c r="G27" s="48"/>
    </row>
    <row r="28" spans="1:10" ht="18" x14ac:dyDescent="0.35">
      <c r="G28" s="48"/>
    </row>
  </sheetData>
  <mergeCells count="15">
    <mergeCell ref="H1:J1"/>
    <mergeCell ref="A2:J2"/>
    <mergeCell ref="G4:J4"/>
    <mergeCell ref="H5:H6"/>
    <mergeCell ref="A5:A6"/>
    <mergeCell ref="B5:B6"/>
    <mergeCell ref="C5:C6"/>
    <mergeCell ref="D5:D6"/>
    <mergeCell ref="A3:J3"/>
    <mergeCell ref="G24:J24"/>
    <mergeCell ref="I5:I6"/>
    <mergeCell ref="J5:J6"/>
    <mergeCell ref="E5:E6"/>
    <mergeCell ref="F5:F6"/>
    <mergeCell ref="G5:G6"/>
  </mergeCells>
  <phoneticPr fontId="2" type="noConversion"/>
  <printOptions horizontalCentered="1"/>
  <pageMargins left="0" right="0" top="0.75" bottom="0.75" header="0.5" footer="0.2"/>
  <pageSetup paperSize="9" scale="70" orientation="landscape" r:id="rId1"/>
  <headerFooter alignWithMargins="0">
    <oddFooter>&amp;C&amp;"Times New Roman,Regular"&amp;12&amp;P/1 (Biểu số 01/QTNS)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opLeftCell="A5" workbookViewId="0">
      <pane xSplit="2" ySplit="7" topLeftCell="C12" activePane="bottomRight" state="frozen"/>
      <selection activeCell="A5" sqref="A5"/>
      <selection pane="topRight" activeCell="C5" sqref="C5"/>
      <selection pane="bottomLeft" activeCell="A12" sqref="A12"/>
      <selection pane="bottomRight" activeCell="B5" sqref="B5:B7"/>
    </sheetView>
  </sheetViews>
  <sheetFormatPr defaultColWidth="9.109375" defaultRowHeight="13.2" x14ac:dyDescent="0.25"/>
  <cols>
    <col min="1" max="1" width="5.6640625" style="8" customWidth="1"/>
    <col min="2" max="2" width="48.33203125" style="7" customWidth="1"/>
    <col min="3" max="3" width="11.109375" style="6" customWidth="1"/>
    <col min="4" max="4" width="11.33203125" style="6" customWidth="1"/>
    <col min="5" max="6" width="11.6640625" style="6" customWidth="1"/>
    <col min="7" max="7" width="11.44140625" style="6" customWidth="1"/>
    <col min="8" max="8" width="11.5546875" style="6" customWidth="1"/>
    <col min="9" max="9" width="11.33203125" style="6" customWidth="1"/>
    <col min="10" max="10" width="12" style="6" customWidth="1"/>
    <col min="11" max="11" width="11" style="6" bestFit="1" customWidth="1"/>
    <col min="12" max="12" width="9.44140625" style="6" bestFit="1" customWidth="1"/>
    <col min="13" max="16384" width="9.109375" style="7"/>
  </cols>
  <sheetData>
    <row r="1" spans="1:12" ht="19.5" customHeight="1" x14ac:dyDescent="0.3">
      <c r="J1" s="100" t="s">
        <v>189</v>
      </c>
      <c r="K1" s="100"/>
      <c r="L1" s="100"/>
    </row>
    <row r="2" spans="1:12" ht="28.5" customHeight="1" x14ac:dyDescent="0.3">
      <c r="A2" s="101" t="s">
        <v>199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 ht="22.5" customHeight="1" x14ac:dyDescent="0.35">
      <c r="A3" s="103" t="s">
        <v>218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ht="20.25" customHeight="1" x14ac:dyDescent="0.3">
      <c r="A4" s="14"/>
      <c r="B4" s="15"/>
      <c r="C4" s="16"/>
      <c r="D4" s="16"/>
      <c r="E4" s="16"/>
      <c r="F4" s="16"/>
      <c r="G4" s="16"/>
      <c r="H4" s="16"/>
      <c r="I4" s="16"/>
      <c r="J4" s="104" t="s">
        <v>187</v>
      </c>
      <c r="K4" s="104"/>
      <c r="L4" s="104"/>
    </row>
    <row r="5" spans="1:12" ht="23.25" customHeight="1" x14ac:dyDescent="0.25">
      <c r="A5" s="99" t="s">
        <v>0</v>
      </c>
      <c r="B5" s="99" t="s">
        <v>50</v>
      </c>
      <c r="C5" s="98" t="s">
        <v>201</v>
      </c>
      <c r="D5" s="98"/>
      <c r="E5" s="98" t="s">
        <v>202</v>
      </c>
      <c r="F5" s="98" t="s">
        <v>54</v>
      </c>
      <c r="G5" s="98"/>
      <c r="H5" s="98"/>
      <c r="I5" s="98"/>
      <c r="J5" s="98"/>
      <c r="K5" s="98" t="s">
        <v>55</v>
      </c>
      <c r="L5" s="98"/>
    </row>
    <row r="6" spans="1:12" ht="20.25" customHeight="1" x14ac:dyDescent="0.25">
      <c r="A6" s="99"/>
      <c r="B6" s="99"/>
      <c r="C6" s="98" t="s">
        <v>51</v>
      </c>
      <c r="D6" s="98" t="s">
        <v>52</v>
      </c>
      <c r="E6" s="102"/>
      <c r="F6" s="98" t="s">
        <v>1</v>
      </c>
      <c r="G6" s="98" t="s">
        <v>2</v>
      </c>
      <c r="H6" s="98" t="s">
        <v>3</v>
      </c>
      <c r="I6" s="98"/>
      <c r="J6" s="98"/>
      <c r="K6" s="98" t="s">
        <v>51</v>
      </c>
      <c r="L6" s="98" t="s">
        <v>52</v>
      </c>
    </row>
    <row r="7" spans="1:12" ht="32.25" customHeight="1" x14ac:dyDescent="0.25">
      <c r="A7" s="99"/>
      <c r="B7" s="99"/>
      <c r="C7" s="98"/>
      <c r="D7" s="98"/>
      <c r="E7" s="102"/>
      <c r="F7" s="98"/>
      <c r="G7" s="98"/>
      <c r="H7" s="86" t="s">
        <v>4</v>
      </c>
      <c r="I7" s="86" t="s">
        <v>5</v>
      </c>
      <c r="J7" s="86" t="s">
        <v>6</v>
      </c>
      <c r="K7" s="99" t="s">
        <v>53</v>
      </c>
      <c r="L7" s="98"/>
    </row>
    <row r="8" spans="1:12" s="23" customFormat="1" ht="21.75" customHeight="1" x14ac:dyDescent="0.25">
      <c r="A8" s="87" t="s">
        <v>7</v>
      </c>
      <c r="B8" s="87" t="s">
        <v>8</v>
      </c>
      <c r="C8" s="86">
        <v>1</v>
      </c>
      <c r="D8" s="86">
        <v>2</v>
      </c>
      <c r="E8" s="86" t="s">
        <v>9</v>
      </c>
      <c r="F8" s="86">
        <v>4</v>
      </c>
      <c r="G8" s="86" t="s">
        <v>10</v>
      </c>
      <c r="H8" s="86">
        <v>6</v>
      </c>
      <c r="I8" s="86">
        <v>7</v>
      </c>
      <c r="J8" s="86">
        <v>8</v>
      </c>
      <c r="K8" s="86" t="s">
        <v>11</v>
      </c>
      <c r="L8" s="86" t="s">
        <v>12</v>
      </c>
    </row>
    <row r="9" spans="1:12" s="90" customFormat="1" ht="21" customHeight="1" x14ac:dyDescent="0.25">
      <c r="A9" s="2"/>
      <c r="B9" s="17" t="s">
        <v>48</v>
      </c>
      <c r="C9" s="12">
        <f t="shared" ref="C9:J9" si="0">C10+C58+C66+C67+C71</f>
        <v>16586702</v>
      </c>
      <c r="D9" s="12">
        <f t="shared" si="0"/>
        <v>20548117</v>
      </c>
      <c r="E9" s="12">
        <f t="shared" si="0"/>
        <v>26536722.043141</v>
      </c>
      <c r="F9" s="12">
        <f t="shared" si="0"/>
        <v>2118194.2919999999</v>
      </c>
      <c r="G9" s="12">
        <f>G10+G58+G66+G67+G71</f>
        <v>24418527.751141001</v>
      </c>
      <c r="H9" s="12">
        <f t="shared" si="0"/>
        <v>14426094.450641001</v>
      </c>
      <c r="I9" s="12">
        <f t="shared" si="0"/>
        <v>6746648.5052000005</v>
      </c>
      <c r="J9" s="12">
        <f t="shared" si="0"/>
        <v>3245784.7952999994</v>
      </c>
      <c r="K9" s="13">
        <f t="shared" ref="K9:K20" si="1">E9/C9</f>
        <v>1.5998793517325505</v>
      </c>
      <c r="L9" s="13">
        <f>E9/D9</f>
        <v>1.2914430087750133</v>
      </c>
    </row>
    <row r="10" spans="1:12" s="90" customFormat="1" ht="21" customHeight="1" x14ac:dyDescent="0.25">
      <c r="A10" s="17" t="s">
        <v>7</v>
      </c>
      <c r="B10" s="18" t="s">
        <v>13</v>
      </c>
      <c r="C10" s="12">
        <f t="shared" ref="C10:J10" si="2">C11+C50+C56+C57</f>
        <v>10615000</v>
      </c>
      <c r="D10" s="12">
        <f t="shared" si="2"/>
        <v>14493000</v>
      </c>
      <c r="E10" s="12">
        <f t="shared" si="2"/>
        <v>7561653.5984000005</v>
      </c>
      <c r="F10" s="12">
        <f t="shared" si="2"/>
        <v>2118194.2919999999</v>
      </c>
      <c r="G10" s="12">
        <f t="shared" si="2"/>
        <v>5443459.3063999992</v>
      </c>
      <c r="H10" s="12">
        <f t="shared" si="2"/>
        <v>4004778.5074999998</v>
      </c>
      <c r="I10" s="12">
        <f t="shared" si="2"/>
        <v>887181.05259999994</v>
      </c>
      <c r="J10" s="12">
        <f t="shared" si="2"/>
        <v>551499.74629999988</v>
      </c>
      <c r="K10" s="13">
        <f t="shared" si="1"/>
        <v>0.71235549678756482</v>
      </c>
      <c r="L10" s="13">
        <f>E10/D10</f>
        <v>0.52174522862071349</v>
      </c>
    </row>
    <row r="11" spans="1:12" s="90" customFormat="1" ht="21" customHeight="1" x14ac:dyDescent="0.25">
      <c r="A11" s="17" t="s">
        <v>14</v>
      </c>
      <c r="B11" s="18" t="s">
        <v>15</v>
      </c>
      <c r="C11" s="12">
        <f t="shared" ref="C11:J11" si="3">C12+C19+C27+C34+C35+C36+C37+C41+C47+C48+C49</f>
        <v>5415000</v>
      </c>
      <c r="D11" s="12">
        <f t="shared" si="3"/>
        <v>7493000</v>
      </c>
      <c r="E11" s="12">
        <f t="shared" si="3"/>
        <v>5419153.3744000001</v>
      </c>
      <c r="F11" s="12">
        <f t="shared" si="3"/>
        <v>97647.61</v>
      </c>
      <c r="G11" s="12">
        <f t="shared" si="3"/>
        <v>5321505.7643999988</v>
      </c>
      <c r="H11" s="12">
        <f t="shared" si="3"/>
        <v>3920362.4964999999</v>
      </c>
      <c r="I11" s="12">
        <f t="shared" si="3"/>
        <v>873838.50359999994</v>
      </c>
      <c r="J11" s="12">
        <f t="shared" si="3"/>
        <v>527304.76429999992</v>
      </c>
      <c r="K11" s="13">
        <f t="shared" si="1"/>
        <v>1.0007670128162511</v>
      </c>
      <c r="L11" s="13">
        <f>E11/D11</f>
        <v>0.72322879679701058</v>
      </c>
    </row>
    <row r="12" spans="1:12" s="90" customFormat="1" ht="21" customHeight="1" x14ac:dyDescent="0.25">
      <c r="A12" s="17">
        <v>1</v>
      </c>
      <c r="B12" s="18" t="s">
        <v>16</v>
      </c>
      <c r="C12" s="12">
        <f>SUM(C13:C18)</f>
        <v>935000</v>
      </c>
      <c r="D12" s="12">
        <v>1510000</v>
      </c>
      <c r="E12" s="12">
        <f t="shared" ref="E12:J12" si="4">SUM(E13:E18)</f>
        <v>939864.82799999998</v>
      </c>
      <c r="F12" s="12">
        <f t="shared" si="4"/>
        <v>596.97500000000002</v>
      </c>
      <c r="G12" s="12">
        <f t="shared" si="4"/>
        <v>939267.85299999989</v>
      </c>
      <c r="H12" s="12">
        <f t="shared" si="4"/>
        <v>923768.59</v>
      </c>
      <c r="I12" s="12">
        <f t="shared" si="4"/>
        <v>10819.779</v>
      </c>
      <c r="J12" s="12">
        <f t="shared" si="4"/>
        <v>4679.4840000000004</v>
      </c>
      <c r="K12" s="13">
        <f t="shared" si="1"/>
        <v>1.0052030245989305</v>
      </c>
      <c r="L12" s="13">
        <f>E12/D12</f>
        <v>0.62242703841059599</v>
      </c>
    </row>
    <row r="13" spans="1:12" s="90" customFormat="1" ht="21" customHeight="1" x14ac:dyDescent="0.25">
      <c r="A13" s="2" t="s">
        <v>63</v>
      </c>
      <c r="B13" s="3" t="s">
        <v>64</v>
      </c>
      <c r="C13" s="4">
        <v>522205</v>
      </c>
      <c r="D13" s="4"/>
      <c r="E13" s="4">
        <f t="shared" ref="E13:E49" si="5">F13+G13</f>
        <v>396360.57199999999</v>
      </c>
      <c r="F13" s="4"/>
      <c r="G13" s="4">
        <f t="shared" ref="G13:G20" si="6">H13+I13+J13</f>
        <v>396360.57199999999</v>
      </c>
      <c r="H13" s="4">
        <v>390696.696</v>
      </c>
      <c r="I13" s="4">
        <v>4563.2</v>
      </c>
      <c r="J13" s="4">
        <v>1100.6759999999999</v>
      </c>
      <c r="K13" s="5">
        <f t="shared" si="1"/>
        <v>0.75901336065338321</v>
      </c>
      <c r="L13" s="5"/>
    </row>
    <row r="14" spans="1:12" s="90" customFormat="1" ht="21" customHeight="1" x14ac:dyDescent="0.25">
      <c r="A14" s="2" t="s">
        <v>65</v>
      </c>
      <c r="B14" s="3" t="s">
        <v>66</v>
      </c>
      <c r="C14" s="4">
        <v>343005</v>
      </c>
      <c r="D14" s="4"/>
      <c r="E14" s="4">
        <f t="shared" si="5"/>
        <v>479432.5</v>
      </c>
      <c r="F14" s="4"/>
      <c r="G14" s="4">
        <f t="shared" si="6"/>
        <v>479432.5</v>
      </c>
      <c r="H14" s="4">
        <v>479432.5</v>
      </c>
      <c r="I14" s="4">
        <v>0</v>
      </c>
      <c r="J14" s="4">
        <v>0</v>
      </c>
      <c r="K14" s="5">
        <f t="shared" si="1"/>
        <v>1.3977420154225157</v>
      </c>
      <c r="L14" s="5"/>
    </row>
    <row r="15" spans="1:12" s="90" customFormat="1" ht="21" customHeight="1" x14ac:dyDescent="0.25">
      <c r="A15" s="2" t="s">
        <v>67</v>
      </c>
      <c r="B15" s="3" t="s">
        <v>198</v>
      </c>
      <c r="C15" s="4">
        <v>55000</v>
      </c>
      <c r="D15" s="4"/>
      <c r="E15" s="4">
        <f t="shared" si="5"/>
        <v>52217.94</v>
      </c>
      <c r="F15" s="4"/>
      <c r="G15" s="4">
        <f t="shared" si="6"/>
        <v>52217.94</v>
      </c>
      <c r="H15" s="4">
        <v>51514.34</v>
      </c>
      <c r="I15" s="4">
        <v>528.29999999999995</v>
      </c>
      <c r="J15" s="4">
        <v>175.3</v>
      </c>
      <c r="K15" s="5">
        <f t="shared" si="1"/>
        <v>0.94941709090909099</v>
      </c>
      <c r="L15" s="5"/>
    </row>
    <row r="16" spans="1:12" s="90" customFormat="1" ht="21" customHeight="1" x14ac:dyDescent="0.25">
      <c r="A16" s="2" t="s">
        <v>68</v>
      </c>
      <c r="B16" s="3" t="s">
        <v>70</v>
      </c>
      <c r="C16" s="4">
        <v>14000</v>
      </c>
      <c r="D16" s="4"/>
      <c r="E16" s="4">
        <f t="shared" si="5"/>
        <v>9782.81</v>
      </c>
      <c r="F16" s="4"/>
      <c r="G16" s="4">
        <f t="shared" si="6"/>
        <v>9782.81</v>
      </c>
      <c r="H16" s="4">
        <v>1248.568</v>
      </c>
      <c r="I16" s="4">
        <v>5140.5969999999998</v>
      </c>
      <c r="J16" s="4">
        <v>3393.645</v>
      </c>
      <c r="K16" s="5">
        <f t="shared" si="1"/>
        <v>0.69877214285714284</v>
      </c>
      <c r="L16" s="5"/>
    </row>
    <row r="17" spans="1:12" s="90" customFormat="1" ht="21" customHeight="1" x14ac:dyDescent="0.25">
      <c r="A17" s="2" t="s">
        <v>69</v>
      </c>
      <c r="B17" s="3" t="s">
        <v>72</v>
      </c>
      <c r="C17" s="4">
        <v>490</v>
      </c>
      <c r="D17" s="4"/>
      <c r="E17" s="4">
        <f t="shared" si="5"/>
        <v>529.48299999999995</v>
      </c>
      <c r="F17" s="4"/>
      <c r="G17" s="4">
        <f t="shared" si="6"/>
        <v>529.48299999999995</v>
      </c>
      <c r="H17" s="4"/>
      <c r="I17" s="4">
        <v>528.48299999999995</v>
      </c>
      <c r="J17" s="4">
        <v>1</v>
      </c>
      <c r="K17" s="5">
        <f t="shared" si="1"/>
        <v>1.0805775510204081</v>
      </c>
      <c r="L17" s="5"/>
    </row>
    <row r="18" spans="1:12" s="90" customFormat="1" ht="21" customHeight="1" x14ac:dyDescent="0.25">
      <c r="A18" s="2" t="s">
        <v>71</v>
      </c>
      <c r="B18" s="3" t="s">
        <v>73</v>
      </c>
      <c r="C18" s="4">
        <v>300</v>
      </c>
      <c r="D18" s="4"/>
      <c r="E18" s="4">
        <f t="shared" si="5"/>
        <v>1541.5230000000001</v>
      </c>
      <c r="F18" s="4">
        <v>596.97500000000002</v>
      </c>
      <c r="G18" s="4">
        <f t="shared" si="6"/>
        <v>944.548</v>
      </c>
      <c r="H18" s="4">
        <v>876.48599999999999</v>
      </c>
      <c r="I18" s="4">
        <v>59.198999999999998</v>
      </c>
      <c r="J18" s="4">
        <v>8.8629999999999995</v>
      </c>
      <c r="K18" s="5">
        <f t="shared" si="1"/>
        <v>5.1384100000000004</v>
      </c>
      <c r="L18" s="5"/>
    </row>
    <row r="19" spans="1:12" s="90" customFormat="1" ht="21" customHeight="1" x14ac:dyDescent="0.25">
      <c r="A19" s="17">
        <v>2</v>
      </c>
      <c r="B19" s="18" t="s">
        <v>40</v>
      </c>
      <c r="C19" s="12">
        <f>SUM(C20:C26)</f>
        <v>969000</v>
      </c>
      <c r="D19" s="12">
        <v>1515000</v>
      </c>
      <c r="E19" s="12">
        <f>SUM(E20:E26)</f>
        <v>1059811.486</v>
      </c>
      <c r="F19" s="12">
        <f>SUM(F20:F26)</f>
        <v>42805.286999999997</v>
      </c>
      <c r="G19" s="12">
        <f t="shared" si="6"/>
        <v>1017006.1989999999</v>
      </c>
      <c r="H19" s="12">
        <f>SUM(H20:H26)</f>
        <v>1016817.9459999999</v>
      </c>
      <c r="I19" s="12">
        <f>SUM(I20:I26)</f>
        <v>186.35</v>
      </c>
      <c r="J19" s="12">
        <f>SUM(J20:J26)</f>
        <v>1.903</v>
      </c>
      <c r="K19" s="13">
        <f t="shared" si="1"/>
        <v>1.0937167038183695</v>
      </c>
      <c r="L19" s="13">
        <f>E19/D19</f>
        <v>0.69954553531353136</v>
      </c>
    </row>
    <row r="20" spans="1:12" s="90" customFormat="1" ht="21" customHeight="1" x14ac:dyDescent="0.25">
      <c r="A20" s="2" t="s">
        <v>74</v>
      </c>
      <c r="B20" s="3" t="s">
        <v>64</v>
      </c>
      <c r="C20" s="4">
        <v>755000</v>
      </c>
      <c r="D20" s="12"/>
      <c r="E20" s="4">
        <f t="shared" si="5"/>
        <v>525002.63899999997</v>
      </c>
      <c r="F20" s="12"/>
      <c r="G20" s="4">
        <f t="shared" si="6"/>
        <v>525002.63899999997</v>
      </c>
      <c r="H20" s="4">
        <v>525002.63899999997</v>
      </c>
      <c r="I20" s="12"/>
      <c r="J20" s="12"/>
      <c r="K20" s="5">
        <f t="shared" si="1"/>
        <v>0.69536773377483441</v>
      </c>
      <c r="L20" s="13"/>
    </row>
    <row r="21" spans="1:12" s="90" customFormat="1" ht="21" customHeight="1" x14ac:dyDescent="0.25">
      <c r="A21" s="2" t="s">
        <v>75</v>
      </c>
      <c r="B21" s="3" t="s">
        <v>66</v>
      </c>
      <c r="C21" s="4"/>
      <c r="D21" s="4"/>
      <c r="E21" s="4">
        <f t="shared" si="5"/>
        <v>0</v>
      </c>
      <c r="F21" s="4"/>
      <c r="G21" s="4">
        <f t="shared" ref="G21:G26" si="7">H21+I21+J21</f>
        <v>0</v>
      </c>
      <c r="H21" s="4"/>
      <c r="I21" s="4"/>
      <c r="J21" s="4"/>
      <c r="K21" s="5"/>
      <c r="L21" s="5"/>
    </row>
    <row r="22" spans="1:12" s="90" customFormat="1" ht="21" customHeight="1" x14ac:dyDescent="0.25">
      <c r="A22" s="2" t="s">
        <v>76</v>
      </c>
      <c r="B22" s="3" t="s">
        <v>77</v>
      </c>
      <c r="C22" s="4">
        <v>206000</v>
      </c>
      <c r="D22" s="4"/>
      <c r="E22" s="4">
        <f t="shared" si="5"/>
        <v>485337.5</v>
      </c>
      <c r="F22" s="4"/>
      <c r="G22" s="4">
        <f t="shared" si="7"/>
        <v>485337.5</v>
      </c>
      <c r="H22" s="4">
        <v>485337.5</v>
      </c>
      <c r="I22" s="4"/>
      <c r="J22" s="4"/>
      <c r="K22" s="5">
        <f t="shared" ref="K22:K33" si="8">E22/C22</f>
        <v>2.3560072815533979</v>
      </c>
      <c r="L22" s="5"/>
    </row>
    <row r="23" spans="1:12" s="90" customFormat="1" ht="21" customHeight="1" x14ac:dyDescent="0.25">
      <c r="A23" s="2" t="s">
        <v>93</v>
      </c>
      <c r="B23" s="3" t="s">
        <v>70</v>
      </c>
      <c r="C23" s="4">
        <v>1700</v>
      </c>
      <c r="D23" s="4"/>
      <c r="E23" s="4">
        <f t="shared" si="5"/>
        <v>3846.3709999999996</v>
      </c>
      <c r="F23" s="4"/>
      <c r="G23" s="4">
        <f t="shared" si="7"/>
        <v>3846.3709999999996</v>
      </c>
      <c r="H23" s="4">
        <v>3841.6179999999999</v>
      </c>
      <c r="I23" s="4">
        <v>2.85</v>
      </c>
      <c r="J23" s="4">
        <v>1.903</v>
      </c>
      <c r="K23" s="5">
        <f t="shared" si="8"/>
        <v>2.2625711764705878</v>
      </c>
      <c r="L23" s="5"/>
    </row>
    <row r="24" spans="1:12" s="90" customFormat="1" ht="21" customHeight="1" x14ac:dyDescent="0.25">
      <c r="A24" s="2" t="s">
        <v>78</v>
      </c>
      <c r="B24" s="3" t="s">
        <v>72</v>
      </c>
      <c r="C24" s="4">
        <v>550</v>
      </c>
      <c r="D24" s="4"/>
      <c r="E24" s="4">
        <f t="shared" si="5"/>
        <v>183.5</v>
      </c>
      <c r="F24" s="4"/>
      <c r="G24" s="4">
        <f t="shared" si="7"/>
        <v>183.5</v>
      </c>
      <c r="H24" s="4"/>
      <c r="I24" s="4">
        <v>183.5</v>
      </c>
      <c r="J24" s="4"/>
      <c r="K24" s="5">
        <f t="shared" si="8"/>
        <v>0.33363636363636362</v>
      </c>
      <c r="L24" s="5"/>
    </row>
    <row r="25" spans="1:12" s="90" customFormat="1" ht="21" customHeight="1" x14ac:dyDescent="0.25">
      <c r="A25" s="2" t="s">
        <v>79</v>
      </c>
      <c r="B25" s="3" t="s">
        <v>81</v>
      </c>
      <c r="C25" s="4">
        <v>4300</v>
      </c>
      <c r="D25" s="4"/>
      <c r="E25" s="4">
        <f t="shared" si="5"/>
        <v>566.61900000000003</v>
      </c>
      <c r="F25" s="4"/>
      <c r="G25" s="4">
        <f t="shared" si="7"/>
        <v>566.61900000000003</v>
      </c>
      <c r="H25" s="4">
        <v>566.61900000000003</v>
      </c>
      <c r="I25" s="4"/>
      <c r="J25" s="4"/>
      <c r="K25" s="5">
        <f t="shared" si="8"/>
        <v>0.1317718604651163</v>
      </c>
      <c r="L25" s="5"/>
    </row>
    <row r="26" spans="1:12" s="90" customFormat="1" ht="21" customHeight="1" x14ac:dyDescent="0.25">
      <c r="A26" s="2" t="s">
        <v>80</v>
      </c>
      <c r="B26" s="3" t="s">
        <v>17</v>
      </c>
      <c r="C26" s="4">
        <v>1450</v>
      </c>
      <c r="D26" s="4"/>
      <c r="E26" s="4">
        <f t="shared" si="5"/>
        <v>44874.856999999996</v>
      </c>
      <c r="F26" s="4">
        <v>42805.286999999997</v>
      </c>
      <c r="G26" s="4">
        <f t="shared" si="7"/>
        <v>2069.5700000000002</v>
      </c>
      <c r="H26" s="4">
        <v>2069.5700000000002</v>
      </c>
      <c r="I26" s="4"/>
      <c r="J26" s="4"/>
      <c r="K26" s="5">
        <f t="shared" si="8"/>
        <v>30.948177241379309</v>
      </c>
      <c r="L26" s="5"/>
    </row>
    <row r="27" spans="1:12" s="90" customFormat="1" ht="21" customHeight="1" x14ac:dyDescent="0.25">
      <c r="A27" s="17">
        <v>3</v>
      </c>
      <c r="B27" s="18" t="s">
        <v>56</v>
      </c>
      <c r="C27" s="12">
        <f>SUM(C28:C33)</f>
        <v>1285000</v>
      </c>
      <c r="D27" s="12">
        <v>1540000</v>
      </c>
      <c r="E27" s="12">
        <f>SUM(E28:E33)</f>
        <v>803672.598</v>
      </c>
      <c r="F27" s="12">
        <f>SUM(F28:F33)</f>
        <v>0</v>
      </c>
      <c r="G27" s="12">
        <f t="shared" ref="G27:G36" si="9">H27+I27+J27</f>
        <v>803672.598</v>
      </c>
      <c r="H27" s="12">
        <f>SUM(H28:H33)</f>
        <v>435066.201</v>
      </c>
      <c r="I27" s="12">
        <f>SUM(I28:I33)</f>
        <v>266739.614</v>
      </c>
      <c r="J27" s="12">
        <f>SUM(J28:J33)</f>
        <v>101866.783</v>
      </c>
      <c r="K27" s="13">
        <f t="shared" si="8"/>
        <v>0.62542614630350191</v>
      </c>
      <c r="L27" s="13">
        <f>E27/D27</f>
        <v>0.52186532337662339</v>
      </c>
    </row>
    <row r="28" spans="1:12" s="90" customFormat="1" ht="21" customHeight="1" x14ac:dyDescent="0.25">
      <c r="A28" s="2" t="s">
        <v>82</v>
      </c>
      <c r="B28" s="3" t="s">
        <v>64</v>
      </c>
      <c r="C28" s="4">
        <v>1082000</v>
      </c>
      <c r="D28" s="4"/>
      <c r="E28" s="4">
        <f t="shared" si="5"/>
        <v>603870.59900000005</v>
      </c>
      <c r="F28" s="4"/>
      <c r="G28" s="4">
        <f t="shared" si="9"/>
        <v>603870.59900000005</v>
      </c>
      <c r="H28" s="4">
        <v>340629.2</v>
      </c>
      <c r="I28" s="4">
        <v>190919.399</v>
      </c>
      <c r="J28" s="4">
        <v>72322</v>
      </c>
      <c r="K28" s="5">
        <f t="shared" si="8"/>
        <v>0.5581059140480592</v>
      </c>
      <c r="L28" s="5"/>
    </row>
    <row r="29" spans="1:12" s="90" customFormat="1" ht="21" customHeight="1" x14ac:dyDescent="0.25">
      <c r="A29" s="2" t="s">
        <v>83</v>
      </c>
      <c r="B29" s="3" t="s">
        <v>66</v>
      </c>
      <c r="C29" s="4">
        <v>5500</v>
      </c>
      <c r="D29" s="4"/>
      <c r="E29" s="4">
        <f t="shared" si="5"/>
        <v>5238.2209999999995</v>
      </c>
      <c r="F29" s="4"/>
      <c r="G29" s="4">
        <f t="shared" si="9"/>
        <v>5238.2209999999995</v>
      </c>
      <c r="H29" s="4">
        <v>1711.4190000000001</v>
      </c>
      <c r="I29" s="4">
        <v>1763.402</v>
      </c>
      <c r="J29" s="4">
        <v>1763.4</v>
      </c>
      <c r="K29" s="5">
        <f t="shared" si="8"/>
        <v>0.95240381818181807</v>
      </c>
      <c r="L29" s="5"/>
    </row>
    <row r="30" spans="1:12" s="90" customFormat="1" ht="21" customHeight="1" x14ac:dyDescent="0.25">
      <c r="A30" s="2" t="s">
        <v>84</v>
      </c>
      <c r="B30" s="3" t="s">
        <v>77</v>
      </c>
      <c r="C30" s="4">
        <v>111000</v>
      </c>
      <c r="D30" s="4"/>
      <c r="E30" s="4">
        <f t="shared" si="5"/>
        <v>107125.91799999999</v>
      </c>
      <c r="F30" s="4"/>
      <c r="G30" s="4">
        <f t="shared" si="9"/>
        <v>107125.91799999999</v>
      </c>
      <c r="H30" s="4">
        <v>74747.145999999993</v>
      </c>
      <c r="I30" s="4">
        <v>26412.066999999999</v>
      </c>
      <c r="J30" s="4">
        <v>5966.7049999999999</v>
      </c>
      <c r="K30" s="5">
        <f t="shared" si="8"/>
        <v>0.96509836036036023</v>
      </c>
      <c r="L30" s="5"/>
    </row>
    <row r="31" spans="1:12" s="90" customFormat="1" ht="21" customHeight="1" x14ac:dyDescent="0.25">
      <c r="A31" s="2" t="s">
        <v>85</v>
      </c>
      <c r="B31" s="3" t="s">
        <v>70</v>
      </c>
      <c r="C31" s="4">
        <v>46000</v>
      </c>
      <c r="D31" s="4"/>
      <c r="E31" s="4">
        <f t="shared" si="5"/>
        <v>35361.926999999996</v>
      </c>
      <c r="F31" s="4"/>
      <c r="G31" s="4">
        <f t="shared" si="9"/>
        <v>35361.926999999996</v>
      </c>
      <c r="H31" s="4">
        <v>5114.32</v>
      </c>
      <c r="I31" s="4">
        <v>18147.886999999999</v>
      </c>
      <c r="J31" s="4">
        <v>12099.72</v>
      </c>
      <c r="K31" s="5">
        <f t="shared" si="8"/>
        <v>0.76873754347826073</v>
      </c>
      <c r="L31" s="5"/>
    </row>
    <row r="32" spans="1:12" s="90" customFormat="1" ht="21" customHeight="1" x14ac:dyDescent="0.25">
      <c r="A32" s="2" t="s">
        <v>86</v>
      </c>
      <c r="B32" s="3" t="s">
        <v>72</v>
      </c>
      <c r="C32" s="4">
        <v>16500</v>
      </c>
      <c r="D32" s="4"/>
      <c r="E32" s="4">
        <f t="shared" si="5"/>
        <v>18287.421000000002</v>
      </c>
      <c r="F32" s="4"/>
      <c r="G32" s="4">
        <f t="shared" si="9"/>
        <v>18287.421000000002</v>
      </c>
      <c r="H32" s="4"/>
      <c r="I32" s="4">
        <v>8572.4629999999997</v>
      </c>
      <c r="J32" s="4">
        <v>9714.9580000000005</v>
      </c>
      <c r="K32" s="5">
        <f t="shared" si="8"/>
        <v>1.1083285454545455</v>
      </c>
      <c r="L32" s="5"/>
    </row>
    <row r="33" spans="1:12" s="90" customFormat="1" ht="21" customHeight="1" x14ac:dyDescent="0.25">
      <c r="A33" s="2" t="s">
        <v>87</v>
      </c>
      <c r="B33" s="3" t="s">
        <v>17</v>
      </c>
      <c r="C33" s="4">
        <v>24000</v>
      </c>
      <c r="D33" s="4"/>
      <c r="E33" s="4">
        <f t="shared" si="5"/>
        <v>33788.512000000002</v>
      </c>
      <c r="F33" s="4"/>
      <c r="G33" s="4">
        <f t="shared" si="9"/>
        <v>33788.512000000002</v>
      </c>
      <c r="H33" s="4">
        <v>12864.116</v>
      </c>
      <c r="I33" s="4">
        <v>20924.396000000001</v>
      </c>
      <c r="J33" s="4"/>
      <c r="K33" s="5">
        <f t="shared" si="8"/>
        <v>1.4078546666666667</v>
      </c>
      <c r="L33" s="5"/>
    </row>
    <row r="34" spans="1:12" s="91" customFormat="1" ht="21" customHeight="1" x14ac:dyDescent="0.25">
      <c r="A34" s="17">
        <v>4</v>
      </c>
      <c r="B34" s="18" t="s">
        <v>18</v>
      </c>
      <c r="C34" s="12"/>
      <c r="D34" s="12"/>
      <c r="E34" s="12">
        <f t="shared" si="5"/>
        <v>286.09300000000002</v>
      </c>
      <c r="F34" s="12"/>
      <c r="G34" s="12">
        <f t="shared" si="9"/>
        <v>286.09300000000002</v>
      </c>
      <c r="H34" s="12"/>
      <c r="I34" s="12"/>
      <c r="J34" s="12">
        <v>286.09300000000002</v>
      </c>
      <c r="K34" s="5"/>
      <c r="L34" s="5"/>
    </row>
    <row r="35" spans="1:12" s="90" customFormat="1" ht="21" customHeight="1" x14ac:dyDescent="0.25">
      <c r="A35" s="17">
        <v>5</v>
      </c>
      <c r="B35" s="18" t="s">
        <v>19</v>
      </c>
      <c r="C35" s="12">
        <v>310000</v>
      </c>
      <c r="D35" s="12">
        <v>395000</v>
      </c>
      <c r="E35" s="12">
        <f t="shared" si="5"/>
        <v>275009.18699999998</v>
      </c>
      <c r="F35" s="4"/>
      <c r="G35" s="12">
        <f t="shared" si="9"/>
        <v>275009.18699999998</v>
      </c>
      <c r="H35" s="12">
        <v>176132</v>
      </c>
      <c r="I35" s="12">
        <v>75485.035999999993</v>
      </c>
      <c r="J35" s="12">
        <v>23392.151000000002</v>
      </c>
      <c r="K35" s="13">
        <f>E35/C35</f>
        <v>0.88712640967741929</v>
      </c>
      <c r="L35" s="13">
        <f>E35/D35</f>
        <v>0.69622578987341766</v>
      </c>
    </row>
    <row r="36" spans="1:12" s="91" customFormat="1" ht="21" customHeight="1" x14ac:dyDescent="0.25">
      <c r="A36" s="17">
        <v>6</v>
      </c>
      <c r="B36" s="18" t="s">
        <v>42</v>
      </c>
      <c r="C36" s="12">
        <v>215000</v>
      </c>
      <c r="D36" s="12">
        <v>301000</v>
      </c>
      <c r="E36" s="12">
        <f t="shared" si="5"/>
        <v>191264.96100000001</v>
      </c>
      <c r="F36" s="4"/>
      <c r="G36" s="12">
        <f t="shared" si="9"/>
        <v>191264.96100000001</v>
      </c>
      <c r="H36" s="12">
        <v>163171</v>
      </c>
      <c r="I36" s="12">
        <v>28088.562000000002</v>
      </c>
      <c r="J36" s="12">
        <v>5.399</v>
      </c>
      <c r="K36" s="13">
        <f>E36/C36</f>
        <v>0.8896044697674419</v>
      </c>
      <c r="L36" s="13">
        <f>E36/D36</f>
        <v>0.63543176411960134</v>
      </c>
    </row>
    <row r="37" spans="1:12" s="91" customFormat="1" ht="21" customHeight="1" x14ac:dyDescent="0.25">
      <c r="A37" s="17">
        <v>7</v>
      </c>
      <c r="B37" s="18" t="s">
        <v>20</v>
      </c>
      <c r="C37" s="12">
        <v>76000</v>
      </c>
      <c r="D37" s="12">
        <v>190000</v>
      </c>
      <c r="E37" s="12">
        <f t="shared" ref="E37:J37" si="10">SUM(E38:E40)</f>
        <v>87885.207399999999</v>
      </c>
      <c r="F37" s="12">
        <f t="shared" si="10"/>
        <v>23504.608</v>
      </c>
      <c r="G37" s="12">
        <f t="shared" si="10"/>
        <v>64380.599399999999</v>
      </c>
      <c r="H37" s="12">
        <f t="shared" si="10"/>
        <v>24155.744500000001</v>
      </c>
      <c r="I37" s="12">
        <f t="shared" si="10"/>
        <v>16165.562599999999</v>
      </c>
      <c r="J37" s="12">
        <f t="shared" si="10"/>
        <v>24059.292300000001</v>
      </c>
      <c r="K37" s="13">
        <f>E37/C37</f>
        <v>1.1563843078947369</v>
      </c>
      <c r="L37" s="13">
        <f>E37/D37</f>
        <v>0.46255372315789473</v>
      </c>
    </row>
    <row r="38" spans="1:12" s="90" customFormat="1" ht="21" customHeight="1" x14ac:dyDescent="0.25">
      <c r="A38" s="2" t="s">
        <v>88</v>
      </c>
      <c r="B38" s="3" t="s">
        <v>89</v>
      </c>
      <c r="C38" s="4">
        <v>38000</v>
      </c>
      <c r="D38" s="4"/>
      <c r="E38" s="4">
        <f t="shared" si="5"/>
        <v>23504.608</v>
      </c>
      <c r="F38" s="4">
        <v>23504.608</v>
      </c>
      <c r="G38" s="4"/>
      <c r="H38" s="4"/>
      <c r="I38" s="4"/>
      <c r="J38" s="4"/>
      <c r="K38" s="5">
        <f>E38/C38</f>
        <v>0.61854231578947372</v>
      </c>
      <c r="L38" s="5"/>
    </row>
    <row r="39" spans="1:12" s="90" customFormat="1" ht="21" customHeight="1" x14ac:dyDescent="0.25">
      <c r="A39" s="2" t="s">
        <v>90</v>
      </c>
      <c r="B39" s="3" t="s">
        <v>194</v>
      </c>
      <c r="C39" s="4"/>
      <c r="D39" s="4"/>
      <c r="E39" s="4">
        <f t="shared" si="5"/>
        <v>40321.307099999998</v>
      </c>
      <c r="F39" s="4"/>
      <c r="G39" s="4">
        <f t="shared" ref="G39:G55" si="11">H39+I39+J39</f>
        <v>40321.307099999998</v>
      </c>
      <c r="H39" s="4">
        <v>24155.744500000001</v>
      </c>
      <c r="I39" s="4">
        <v>16165.562599999999</v>
      </c>
      <c r="J39" s="4"/>
      <c r="K39" s="5"/>
      <c r="L39" s="5"/>
    </row>
    <row r="40" spans="1:12" s="90" customFormat="1" ht="21" customHeight="1" x14ac:dyDescent="0.25">
      <c r="A40" s="2" t="s">
        <v>91</v>
      </c>
      <c r="B40" s="3" t="s">
        <v>92</v>
      </c>
      <c r="C40" s="4"/>
      <c r="D40" s="4"/>
      <c r="E40" s="4">
        <f t="shared" si="5"/>
        <v>24059.292300000001</v>
      </c>
      <c r="F40" s="4"/>
      <c r="G40" s="4">
        <f t="shared" si="11"/>
        <v>24059.292300000001</v>
      </c>
      <c r="H40" s="4"/>
      <c r="I40" s="4"/>
      <c r="J40" s="4">
        <v>24059.292300000001</v>
      </c>
      <c r="K40" s="5"/>
      <c r="L40" s="5"/>
    </row>
    <row r="41" spans="1:12" s="91" customFormat="1" ht="21" customHeight="1" x14ac:dyDescent="0.25">
      <c r="A41" s="17">
        <v>8</v>
      </c>
      <c r="B41" s="18" t="s">
        <v>60</v>
      </c>
      <c r="C41" s="12">
        <f>SUM(C42:C46)</f>
        <v>959000</v>
      </c>
      <c r="D41" s="12">
        <f>SUM(D42:D46)</f>
        <v>1164000</v>
      </c>
      <c r="E41" s="12">
        <f t="shared" ref="E41:J41" si="12">SUM(E42:E46)</f>
        <v>1377512.5959999999</v>
      </c>
      <c r="F41" s="12">
        <f t="shared" si="12"/>
        <v>504.7</v>
      </c>
      <c r="G41" s="12">
        <f t="shared" si="12"/>
        <v>1377007.8959999999</v>
      </c>
      <c r="H41" s="12">
        <f t="shared" si="12"/>
        <v>600095</v>
      </c>
      <c r="I41" s="12">
        <f t="shared" si="12"/>
        <v>447961.4</v>
      </c>
      <c r="J41" s="12">
        <f t="shared" si="12"/>
        <v>328951.49599999998</v>
      </c>
      <c r="K41" s="13">
        <f>E41/C41</f>
        <v>1.4364052095933262</v>
      </c>
      <c r="L41" s="13">
        <f>E41/D41</f>
        <v>1.1834300652920962</v>
      </c>
    </row>
    <row r="42" spans="1:12" s="91" customFormat="1" ht="21" customHeight="1" x14ac:dyDescent="0.25">
      <c r="A42" s="2" t="s">
        <v>21</v>
      </c>
      <c r="B42" s="9" t="s">
        <v>41</v>
      </c>
      <c r="C42" s="4">
        <v>11000</v>
      </c>
      <c r="D42" s="4">
        <v>12000</v>
      </c>
      <c r="E42" s="4">
        <f t="shared" si="5"/>
        <v>10397</v>
      </c>
      <c r="F42" s="4"/>
      <c r="G42" s="4">
        <f t="shared" si="11"/>
        <v>10397</v>
      </c>
      <c r="H42" s="4"/>
      <c r="I42" s="4"/>
      <c r="J42" s="4">
        <v>10397</v>
      </c>
      <c r="K42" s="5">
        <f>E42/C42</f>
        <v>0.94518181818181823</v>
      </c>
      <c r="L42" s="5">
        <f>E42/D42</f>
        <v>0.86641666666666661</v>
      </c>
    </row>
    <row r="43" spans="1:12" s="90" customFormat="1" ht="21" customHeight="1" x14ac:dyDescent="0.25">
      <c r="A43" s="2" t="s">
        <v>22</v>
      </c>
      <c r="B43" s="3" t="s">
        <v>24</v>
      </c>
      <c r="C43" s="4">
        <v>45000</v>
      </c>
      <c r="D43" s="4">
        <v>174000</v>
      </c>
      <c r="E43" s="4">
        <f t="shared" si="5"/>
        <v>134550</v>
      </c>
      <c r="F43" s="4"/>
      <c r="G43" s="4">
        <f t="shared" si="11"/>
        <v>134550</v>
      </c>
      <c r="H43" s="4">
        <v>128719</v>
      </c>
      <c r="I43" s="4">
        <v>5831</v>
      </c>
      <c r="J43" s="4"/>
      <c r="K43" s="5">
        <f>E43/C43</f>
        <v>2.99</v>
      </c>
      <c r="L43" s="5">
        <f>E43/D43</f>
        <v>0.77327586206896548</v>
      </c>
    </row>
    <row r="44" spans="1:12" s="90" customFormat="1" ht="21" customHeight="1" x14ac:dyDescent="0.25">
      <c r="A44" s="2" t="s">
        <v>23</v>
      </c>
      <c r="B44" s="3" t="s">
        <v>25</v>
      </c>
      <c r="C44" s="4">
        <v>650000</v>
      </c>
      <c r="D44" s="4">
        <v>750000</v>
      </c>
      <c r="E44" s="4">
        <f t="shared" si="5"/>
        <v>1212058.8959999999</v>
      </c>
      <c r="F44" s="4"/>
      <c r="G44" s="4">
        <f t="shared" si="11"/>
        <v>1212058.8959999999</v>
      </c>
      <c r="H44" s="4">
        <v>451799</v>
      </c>
      <c r="I44" s="4">
        <v>442130.4</v>
      </c>
      <c r="J44" s="4">
        <v>318129.49599999998</v>
      </c>
      <c r="K44" s="5">
        <f>E44/C44</f>
        <v>1.8647059938461539</v>
      </c>
      <c r="L44" s="5">
        <f>E44/D44</f>
        <v>1.6160785279999998</v>
      </c>
    </row>
    <row r="45" spans="1:12" s="90" customFormat="1" ht="21" customHeight="1" x14ac:dyDescent="0.25">
      <c r="A45" s="2" t="s">
        <v>43</v>
      </c>
      <c r="B45" s="3" t="s">
        <v>59</v>
      </c>
      <c r="C45" s="4"/>
      <c r="D45" s="4"/>
      <c r="E45" s="4">
        <f t="shared" si="5"/>
        <v>425</v>
      </c>
      <c r="F45" s="4"/>
      <c r="G45" s="4">
        <f t="shared" si="11"/>
        <v>425</v>
      </c>
      <c r="H45" s="4"/>
      <c r="I45" s="4"/>
      <c r="J45" s="4">
        <v>425</v>
      </c>
      <c r="K45" s="5">
        <f>E45/C46</f>
        <v>1.6798418972332016E-3</v>
      </c>
      <c r="L45" s="5"/>
    </row>
    <row r="46" spans="1:12" s="90" customFormat="1" ht="21" customHeight="1" x14ac:dyDescent="0.25">
      <c r="A46" s="2" t="s">
        <v>62</v>
      </c>
      <c r="B46" s="3" t="s">
        <v>191</v>
      </c>
      <c r="C46" s="4">
        <v>253000</v>
      </c>
      <c r="D46" s="4">
        <v>228000</v>
      </c>
      <c r="E46" s="4">
        <f t="shared" si="5"/>
        <v>20081.7</v>
      </c>
      <c r="F46" s="4">
        <v>504.7</v>
      </c>
      <c r="G46" s="4">
        <f t="shared" si="11"/>
        <v>19577</v>
      </c>
      <c r="H46" s="4">
        <v>19577</v>
      </c>
      <c r="I46" s="4"/>
      <c r="J46" s="4"/>
      <c r="K46" s="5"/>
      <c r="L46" s="5"/>
    </row>
    <row r="47" spans="1:12" s="91" customFormat="1" ht="21" customHeight="1" x14ac:dyDescent="0.25">
      <c r="A47" s="17">
        <v>9</v>
      </c>
      <c r="B47" s="19" t="s">
        <v>44</v>
      </c>
      <c r="C47" s="12">
        <v>510000</v>
      </c>
      <c r="D47" s="12">
        <v>600000</v>
      </c>
      <c r="E47" s="12">
        <f t="shared" si="5"/>
        <v>536401</v>
      </c>
      <c r="F47" s="12"/>
      <c r="G47" s="12">
        <f t="shared" si="11"/>
        <v>536401</v>
      </c>
      <c r="H47" s="12">
        <v>536401</v>
      </c>
      <c r="I47" s="12"/>
      <c r="J47" s="12"/>
      <c r="K47" s="13">
        <f>E47/C47</f>
        <v>1.0517666666666667</v>
      </c>
      <c r="L47" s="13">
        <f>E47/D47</f>
        <v>0.89400166666666669</v>
      </c>
    </row>
    <row r="48" spans="1:12" s="91" customFormat="1" ht="21" customHeight="1" x14ac:dyDescent="0.25">
      <c r="A48" s="17">
        <v>10</v>
      </c>
      <c r="B48" s="19" t="s">
        <v>49</v>
      </c>
      <c r="C48" s="12">
        <v>31000</v>
      </c>
      <c r="D48" s="12">
        <v>65000</v>
      </c>
      <c r="E48" s="12">
        <f t="shared" si="5"/>
        <v>44004.836000000003</v>
      </c>
      <c r="F48" s="12">
        <v>6.8879999999999999</v>
      </c>
      <c r="G48" s="12">
        <f t="shared" si="11"/>
        <v>43997.948000000004</v>
      </c>
      <c r="H48" s="12"/>
      <c r="I48" s="12"/>
      <c r="J48" s="12">
        <f>56035.998-12038.05</f>
        <v>43997.948000000004</v>
      </c>
      <c r="K48" s="13">
        <f>E48/C48</f>
        <v>1.4195108387096775</v>
      </c>
      <c r="L48" s="13">
        <f>E48/D48</f>
        <v>0.67699747692307699</v>
      </c>
    </row>
    <row r="49" spans="1:12" s="91" customFormat="1" ht="21" customHeight="1" x14ac:dyDescent="0.25">
      <c r="A49" s="17">
        <v>11</v>
      </c>
      <c r="B49" s="18" t="s">
        <v>26</v>
      </c>
      <c r="C49" s="12">
        <v>125000</v>
      </c>
      <c r="D49" s="12">
        <v>213000</v>
      </c>
      <c r="E49" s="12">
        <f t="shared" si="5"/>
        <v>103440.58199999999</v>
      </c>
      <c r="F49" s="12">
        <v>30229.151999999998</v>
      </c>
      <c r="G49" s="12">
        <f t="shared" si="11"/>
        <v>73211.429999999993</v>
      </c>
      <c r="H49" s="12">
        <f>47657.729-2902.714</f>
        <v>44755.014999999999</v>
      </c>
      <c r="I49" s="12">
        <v>28392.2</v>
      </c>
      <c r="J49" s="12">
        <v>64.215000000000003</v>
      </c>
      <c r="K49" s="13">
        <f>E49/C49</f>
        <v>0.82752465599999991</v>
      </c>
      <c r="L49" s="13">
        <f>E49/D49</f>
        <v>0.48563653521126759</v>
      </c>
    </row>
    <row r="50" spans="1:12" s="90" customFormat="1" ht="21" customHeight="1" x14ac:dyDescent="0.25">
      <c r="A50" s="17" t="s">
        <v>27</v>
      </c>
      <c r="B50" s="18" t="s">
        <v>29</v>
      </c>
      <c r="C50" s="12">
        <f>SUM(C51:C55)</f>
        <v>5200000</v>
      </c>
      <c r="D50" s="12">
        <v>7000000</v>
      </c>
      <c r="E50" s="12">
        <f>SUM(E51:E55)</f>
        <v>2021974.6819999998</v>
      </c>
      <c r="F50" s="12">
        <f>SUM(F51:F55)</f>
        <v>2020546.6819999998</v>
      </c>
      <c r="G50" s="12">
        <f>SUM(G51:G55)</f>
        <v>1428</v>
      </c>
      <c r="H50" s="12">
        <f>SUM(H51:H55)</f>
        <v>1428</v>
      </c>
      <c r="I50" s="12"/>
      <c r="J50" s="12"/>
      <c r="K50" s="13">
        <f>E50/C50</f>
        <v>0.38884128499999998</v>
      </c>
      <c r="L50" s="13">
        <f>E50/D50</f>
        <v>0.28885352599999997</v>
      </c>
    </row>
    <row r="51" spans="1:12" s="90" customFormat="1" ht="25.5" customHeight="1" x14ac:dyDescent="0.25">
      <c r="A51" s="2">
        <v>1</v>
      </c>
      <c r="B51" s="3" t="s">
        <v>57</v>
      </c>
      <c r="C51" s="4">
        <v>700000</v>
      </c>
      <c r="D51" s="4"/>
      <c r="E51" s="4">
        <f t="shared" ref="E51:E66" si="13">F51+G51</f>
        <v>383371.75199999998</v>
      </c>
      <c r="F51" s="4">
        <v>383371.75199999998</v>
      </c>
      <c r="G51" s="4">
        <f t="shared" si="11"/>
        <v>0</v>
      </c>
      <c r="H51" s="4"/>
      <c r="I51" s="4"/>
      <c r="J51" s="4"/>
      <c r="K51" s="5">
        <f>E51/C51</f>
        <v>0.54767393142857135</v>
      </c>
      <c r="L51" s="5"/>
    </row>
    <row r="52" spans="1:12" s="90" customFormat="1" ht="25.5" customHeight="1" x14ac:dyDescent="0.25">
      <c r="A52" s="2">
        <v>2</v>
      </c>
      <c r="B52" s="3" t="s">
        <v>192</v>
      </c>
      <c r="C52" s="4"/>
      <c r="D52" s="4"/>
      <c r="E52" s="4">
        <f t="shared" si="13"/>
        <v>271.512</v>
      </c>
      <c r="F52" s="4">
        <v>271.512</v>
      </c>
      <c r="G52" s="4">
        <f t="shared" si="11"/>
        <v>0</v>
      </c>
      <c r="H52" s="4"/>
      <c r="I52" s="4"/>
      <c r="J52" s="4"/>
      <c r="K52" s="5"/>
      <c r="L52" s="5"/>
    </row>
    <row r="53" spans="1:12" s="90" customFormat="1" ht="21" customHeight="1" x14ac:dyDescent="0.25">
      <c r="A53" s="2">
        <v>3</v>
      </c>
      <c r="B53" s="3" t="s">
        <v>30</v>
      </c>
      <c r="C53" s="4">
        <v>4500000</v>
      </c>
      <c r="D53" s="4"/>
      <c r="E53" s="4">
        <f t="shared" si="13"/>
        <v>1611969.2649999999</v>
      </c>
      <c r="F53" s="4">
        <v>1611969.2649999999</v>
      </c>
      <c r="G53" s="4">
        <f t="shared" si="11"/>
        <v>0</v>
      </c>
      <c r="H53" s="4"/>
      <c r="I53" s="4"/>
      <c r="J53" s="4"/>
      <c r="K53" s="5"/>
      <c r="L53" s="5"/>
    </row>
    <row r="54" spans="1:12" s="90" customFormat="1" ht="21" customHeight="1" x14ac:dyDescent="0.25">
      <c r="A54" s="2">
        <v>4</v>
      </c>
      <c r="B54" s="3" t="s">
        <v>61</v>
      </c>
      <c r="C54" s="4"/>
      <c r="D54" s="4"/>
      <c r="E54" s="4">
        <f t="shared" si="13"/>
        <v>23329.406999999999</v>
      </c>
      <c r="F54" s="4">
        <v>23329.406999999999</v>
      </c>
      <c r="G54" s="4">
        <f t="shared" si="11"/>
        <v>0</v>
      </c>
      <c r="H54" s="4"/>
      <c r="I54" s="4"/>
      <c r="J54" s="4"/>
      <c r="K54" s="5"/>
      <c r="L54" s="5"/>
    </row>
    <row r="55" spans="1:12" s="90" customFormat="1" ht="21" customHeight="1" x14ac:dyDescent="0.25">
      <c r="A55" s="2">
        <v>5</v>
      </c>
      <c r="B55" s="3" t="s">
        <v>17</v>
      </c>
      <c r="C55" s="4"/>
      <c r="D55" s="4"/>
      <c r="E55" s="4">
        <f t="shared" si="13"/>
        <v>3032.7460000000001</v>
      </c>
      <c r="F55" s="4">
        <v>1604.7460000000001</v>
      </c>
      <c r="G55" s="4">
        <f t="shared" si="11"/>
        <v>1428</v>
      </c>
      <c r="H55" s="4">
        <v>1428</v>
      </c>
      <c r="I55" s="4"/>
      <c r="J55" s="4"/>
      <c r="K55" s="5"/>
      <c r="L55" s="5"/>
    </row>
    <row r="56" spans="1:12" s="90" customFormat="1" ht="21" customHeight="1" x14ac:dyDescent="0.25">
      <c r="A56" s="17" t="s">
        <v>28</v>
      </c>
      <c r="B56" s="18" t="s">
        <v>45</v>
      </c>
      <c r="C56" s="12"/>
      <c r="D56" s="12"/>
      <c r="E56" s="12">
        <f t="shared" si="13"/>
        <v>35000</v>
      </c>
      <c r="F56" s="12"/>
      <c r="G56" s="12">
        <f>H56</f>
        <v>35000</v>
      </c>
      <c r="H56" s="12">
        <v>35000</v>
      </c>
      <c r="I56" s="12"/>
      <c r="J56" s="12"/>
      <c r="K56" s="13"/>
      <c r="L56" s="13"/>
    </row>
    <row r="57" spans="1:12" s="90" customFormat="1" ht="21" customHeight="1" x14ac:dyDescent="0.25">
      <c r="A57" s="17" t="s">
        <v>31</v>
      </c>
      <c r="B57" s="18" t="s">
        <v>32</v>
      </c>
      <c r="C57" s="12"/>
      <c r="D57" s="12"/>
      <c r="E57" s="12">
        <f t="shared" si="13"/>
        <v>85525.542000000001</v>
      </c>
      <c r="F57" s="12"/>
      <c r="G57" s="12">
        <f t="shared" ref="G57:G60" si="14">H57+I57+J57</f>
        <v>85525.542000000001</v>
      </c>
      <c r="H57" s="12">
        <v>47988.010999999999</v>
      </c>
      <c r="I57" s="12">
        <v>13342.549000000001</v>
      </c>
      <c r="J57" s="12">
        <v>24194.982</v>
      </c>
      <c r="K57" s="13"/>
      <c r="L57" s="13"/>
    </row>
    <row r="58" spans="1:12" s="90" customFormat="1" ht="37.5" customHeight="1" x14ac:dyDescent="0.25">
      <c r="A58" s="17" t="s">
        <v>8</v>
      </c>
      <c r="B58" s="18" t="s">
        <v>58</v>
      </c>
      <c r="C58" s="12"/>
      <c r="D58" s="12">
        <f>SUM(D59:D65)</f>
        <v>346637</v>
      </c>
      <c r="E58" s="12">
        <f>SUM(E59:E65)</f>
        <v>438063.76074099995</v>
      </c>
      <c r="F58" s="12">
        <f t="shared" ref="F58:J58" si="15">SUM(F59:F65)</f>
        <v>0</v>
      </c>
      <c r="G58" s="12">
        <f t="shared" si="15"/>
        <v>438063.76074099995</v>
      </c>
      <c r="H58" s="12">
        <f t="shared" si="15"/>
        <v>51014.043140999995</v>
      </c>
      <c r="I58" s="12">
        <f t="shared" si="15"/>
        <v>77562.752599999993</v>
      </c>
      <c r="J58" s="12">
        <f t="shared" si="15"/>
        <v>309486.96500000003</v>
      </c>
      <c r="K58" s="13"/>
      <c r="L58" s="13">
        <f>E58/D58</f>
        <v>1.2637536118215884</v>
      </c>
    </row>
    <row r="59" spans="1:12" s="90" customFormat="1" ht="21" customHeight="1" x14ac:dyDescent="0.25">
      <c r="A59" s="2">
        <v>1</v>
      </c>
      <c r="B59" s="3" t="s">
        <v>33</v>
      </c>
      <c r="C59" s="4"/>
      <c r="D59" s="4">
        <v>100000</v>
      </c>
      <c r="E59" s="4">
        <f t="shared" si="13"/>
        <v>271640.75</v>
      </c>
      <c r="F59" s="4"/>
      <c r="G59" s="4">
        <f t="shared" si="14"/>
        <v>271640.75</v>
      </c>
      <c r="H59" s="4"/>
      <c r="I59" s="4">
        <v>23.36</v>
      </c>
      <c r="J59" s="4">
        <v>271617.39</v>
      </c>
      <c r="K59" s="5"/>
      <c r="L59" s="13">
        <f>E59/D59</f>
        <v>2.7164074999999999</v>
      </c>
    </row>
    <row r="60" spans="1:12" s="90" customFormat="1" ht="21" hidden="1" customHeight="1" x14ac:dyDescent="0.25">
      <c r="A60" s="2">
        <v>2</v>
      </c>
      <c r="B60" s="3" t="s">
        <v>193</v>
      </c>
      <c r="C60" s="4"/>
      <c r="D60" s="4">
        <v>92055</v>
      </c>
      <c r="E60" s="4">
        <f t="shared" si="13"/>
        <v>39725.39</v>
      </c>
      <c r="F60" s="4"/>
      <c r="G60" s="4">
        <f t="shared" si="14"/>
        <v>39725.39</v>
      </c>
      <c r="H60" s="4"/>
      <c r="I60" s="4">
        <v>24555</v>
      </c>
      <c r="J60" s="4">
        <v>15170.39</v>
      </c>
      <c r="K60" s="5"/>
      <c r="L60" s="13">
        <f>E60/D60</f>
        <v>0.43153973168214654</v>
      </c>
    </row>
    <row r="61" spans="1:12" s="90" customFormat="1" ht="21" hidden="1" customHeight="1" x14ac:dyDescent="0.25">
      <c r="A61" s="2">
        <v>3</v>
      </c>
      <c r="B61" s="3" t="s">
        <v>46</v>
      </c>
      <c r="C61" s="4"/>
      <c r="D61" s="4">
        <v>7000</v>
      </c>
      <c r="E61" s="4">
        <f t="shared" ref="E61:E65" si="16">F61+G61</f>
        <v>5962.8526410000004</v>
      </c>
      <c r="F61" s="4"/>
      <c r="G61" s="4">
        <f t="shared" ref="G61:G66" si="17">H61+I61+J61</f>
        <v>5962.8526410000004</v>
      </c>
      <c r="H61" s="4">
        <v>5962.8526410000004</v>
      </c>
      <c r="I61" s="4"/>
      <c r="J61" s="4"/>
      <c r="K61" s="5"/>
      <c r="L61" s="13">
        <f>E61/D61</f>
        <v>0.85183609157142859</v>
      </c>
    </row>
    <row r="62" spans="1:12" s="90" customFormat="1" ht="21" hidden="1" customHeight="1" x14ac:dyDescent="0.25">
      <c r="A62" s="2">
        <v>4</v>
      </c>
      <c r="B62" s="3" t="s">
        <v>196</v>
      </c>
      <c r="C62" s="4"/>
      <c r="D62" s="4">
        <v>107162</v>
      </c>
      <c r="E62" s="4">
        <f t="shared" si="16"/>
        <v>93151.602099999989</v>
      </c>
      <c r="F62" s="4"/>
      <c r="G62" s="4">
        <f t="shared" si="17"/>
        <v>93151.602099999989</v>
      </c>
      <c r="H62" s="4">
        <v>42061.336499999998</v>
      </c>
      <c r="I62" s="4">
        <v>51090.265599999999</v>
      </c>
      <c r="J62" s="4"/>
      <c r="K62" s="5"/>
      <c r="L62" s="13">
        <f>E62/D62</f>
        <v>0.86925964521005572</v>
      </c>
    </row>
    <row r="63" spans="1:12" s="90" customFormat="1" ht="21" hidden="1" customHeight="1" x14ac:dyDescent="0.25">
      <c r="A63" s="2">
        <v>5</v>
      </c>
      <c r="B63" s="3" t="s">
        <v>197</v>
      </c>
      <c r="C63" s="4"/>
      <c r="D63" s="4"/>
      <c r="E63" s="4">
        <f t="shared" si="16"/>
        <v>12642.402</v>
      </c>
      <c r="F63" s="4"/>
      <c r="G63" s="4">
        <f t="shared" si="17"/>
        <v>12642.402</v>
      </c>
      <c r="H63" s="4">
        <v>87.14</v>
      </c>
      <c r="I63" s="4">
        <v>1894.127</v>
      </c>
      <c r="J63" s="4">
        <v>10661.135</v>
      </c>
      <c r="K63" s="5"/>
      <c r="L63" s="13"/>
    </row>
    <row r="64" spans="1:12" s="90" customFormat="1" ht="21" hidden="1" customHeight="1" x14ac:dyDescent="0.25">
      <c r="A64" s="2">
        <v>6</v>
      </c>
      <c r="B64" s="3" t="s">
        <v>217</v>
      </c>
      <c r="C64" s="4"/>
      <c r="D64" s="4"/>
      <c r="E64" s="4">
        <f t="shared" si="16"/>
        <v>12038.05</v>
      </c>
      <c r="F64" s="4"/>
      <c r="G64" s="4">
        <f t="shared" si="17"/>
        <v>12038.05</v>
      </c>
      <c r="H64" s="4"/>
      <c r="I64" s="4"/>
      <c r="J64" s="4">
        <v>12038.05</v>
      </c>
      <c r="K64" s="5"/>
      <c r="L64" s="13"/>
    </row>
    <row r="65" spans="1:12" s="90" customFormat="1" ht="21" hidden="1" customHeight="1" x14ac:dyDescent="0.25">
      <c r="A65" s="2">
        <v>7</v>
      </c>
      <c r="B65" s="3" t="s">
        <v>203</v>
      </c>
      <c r="C65" s="4"/>
      <c r="D65" s="4">
        <v>40420</v>
      </c>
      <c r="E65" s="4">
        <f t="shared" si="16"/>
        <v>2902.7139999999999</v>
      </c>
      <c r="F65" s="4"/>
      <c r="G65" s="4">
        <f t="shared" si="17"/>
        <v>2902.7139999999999</v>
      </c>
      <c r="H65" s="4">
        <v>2902.7139999999999</v>
      </c>
      <c r="I65" s="4"/>
      <c r="J65" s="4"/>
      <c r="K65" s="5"/>
      <c r="L65" s="13">
        <f>E65/D65</f>
        <v>7.1813805047006435E-2</v>
      </c>
    </row>
    <row r="66" spans="1:12" s="91" customFormat="1" ht="21" customHeight="1" x14ac:dyDescent="0.25">
      <c r="A66" s="17" t="s">
        <v>34</v>
      </c>
      <c r="B66" s="19" t="s">
        <v>47</v>
      </c>
      <c r="C66" s="12">
        <v>263222</v>
      </c>
      <c r="D66" s="12"/>
      <c r="E66" s="12">
        <f t="shared" si="13"/>
        <v>3918568</v>
      </c>
      <c r="F66" s="12"/>
      <c r="G66" s="12">
        <f t="shared" si="17"/>
        <v>3918568</v>
      </c>
      <c r="H66" s="12">
        <v>3421374</v>
      </c>
      <c r="I66" s="12">
        <v>370186</v>
      </c>
      <c r="J66" s="12">
        <v>127008</v>
      </c>
      <c r="K66" s="13"/>
      <c r="L66" s="13"/>
    </row>
    <row r="67" spans="1:12" s="90" customFormat="1" ht="21" customHeight="1" x14ac:dyDescent="0.25">
      <c r="A67" s="17" t="s">
        <v>37</v>
      </c>
      <c r="B67" s="18" t="s">
        <v>220</v>
      </c>
      <c r="C67" s="12">
        <f>SUM(C68:C70)</f>
        <v>5708480</v>
      </c>
      <c r="D67" s="12">
        <f>SUM(D68:D70)</f>
        <v>5708480</v>
      </c>
      <c r="E67" s="12">
        <f t="shared" ref="E67:J67" si="18">SUM(E68:E70)</f>
        <v>14609689.684</v>
      </c>
      <c r="F67" s="12">
        <f t="shared" si="18"/>
        <v>0</v>
      </c>
      <c r="G67" s="12">
        <f t="shared" si="18"/>
        <v>14609689.684</v>
      </c>
      <c r="H67" s="12">
        <f t="shared" si="18"/>
        <v>6948927.9000000004</v>
      </c>
      <c r="I67" s="12">
        <f t="shared" si="18"/>
        <v>5402971.7000000002</v>
      </c>
      <c r="J67" s="12">
        <f t="shared" si="18"/>
        <v>2257790.0839999998</v>
      </c>
      <c r="K67" s="13">
        <f>H67/D67</f>
        <v>1.2172991584449802</v>
      </c>
      <c r="L67" s="13">
        <f>H67/D67</f>
        <v>1.2172991584449802</v>
      </c>
    </row>
    <row r="68" spans="1:12" s="90" customFormat="1" ht="21" customHeight="1" x14ac:dyDescent="0.25">
      <c r="A68" s="2">
        <v>1</v>
      </c>
      <c r="B68" s="3" t="s">
        <v>35</v>
      </c>
      <c r="C68" s="4">
        <v>3050815</v>
      </c>
      <c r="D68" s="4">
        <v>3050815</v>
      </c>
      <c r="E68" s="4">
        <f>F68+G68</f>
        <v>8207777</v>
      </c>
      <c r="F68" s="4"/>
      <c r="G68" s="4">
        <f t="shared" ref="G68:G71" si="19">H68+I68+J68</f>
        <v>8207777</v>
      </c>
      <c r="H68" s="4">
        <v>3261673</v>
      </c>
      <c r="I68" s="20">
        <v>4024762</v>
      </c>
      <c r="J68" s="20">
        <v>921342</v>
      </c>
      <c r="K68" s="5">
        <f>H68/D68</f>
        <v>1.069115301976685</v>
      </c>
      <c r="L68" s="5">
        <f>H68/D68</f>
        <v>1.069115301976685</v>
      </c>
    </row>
    <row r="69" spans="1:12" s="90" customFormat="1" ht="33.75" customHeight="1" x14ac:dyDescent="0.25">
      <c r="A69" s="2">
        <v>2</v>
      </c>
      <c r="B69" s="3" t="s">
        <v>200</v>
      </c>
      <c r="C69" s="4">
        <v>210858</v>
      </c>
      <c r="D69" s="4">
        <v>210858</v>
      </c>
      <c r="E69" s="4"/>
      <c r="F69" s="4"/>
      <c r="G69" s="4"/>
      <c r="H69" s="4"/>
      <c r="I69" s="20"/>
      <c r="J69" s="20"/>
      <c r="K69" s="5"/>
      <c r="L69" s="5"/>
    </row>
    <row r="70" spans="1:12" s="90" customFormat="1" ht="21" customHeight="1" x14ac:dyDescent="0.25">
      <c r="A70" s="2">
        <v>3</v>
      </c>
      <c r="B70" s="3" t="s">
        <v>36</v>
      </c>
      <c r="C70" s="4">
        <v>2446807</v>
      </c>
      <c r="D70" s="4">
        <v>2446807</v>
      </c>
      <c r="E70" s="4">
        <f>F70+G70</f>
        <v>6401912.6839999994</v>
      </c>
      <c r="F70" s="4"/>
      <c r="G70" s="4">
        <f t="shared" si="19"/>
        <v>6401912.6839999994</v>
      </c>
      <c r="H70" s="4">
        <v>3687254.9</v>
      </c>
      <c r="I70" s="20">
        <v>1378209.7</v>
      </c>
      <c r="J70" s="20">
        <v>1336448.084</v>
      </c>
      <c r="K70" s="5">
        <f>H70/C70</f>
        <v>1.5069659764746464</v>
      </c>
      <c r="L70" s="5">
        <f>H70/D70</f>
        <v>1.5069659764746464</v>
      </c>
    </row>
    <row r="71" spans="1:12" s="90" customFormat="1" ht="21" customHeight="1" x14ac:dyDescent="0.25">
      <c r="A71" s="17" t="s">
        <v>39</v>
      </c>
      <c r="B71" s="18" t="s">
        <v>38</v>
      </c>
      <c r="C71" s="12"/>
      <c r="D71" s="12"/>
      <c r="E71" s="12">
        <f t="shared" ref="E71" si="20">F71+G71</f>
        <v>8747</v>
      </c>
      <c r="F71" s="12"/>
      <c r="G71" s="12">
        <f t="shared" si="19"/>
        <v>8747</v>
      </c>
      <c r="H71" s="12"/>
      <c r="I71" s="12">
        <v>8747</v>
      </c>
      <c r="J71" s="12"/>
      <c r="K71" s="13"/>
      <c r="L71" s="13"/>
    </row>
    <row r="72" spans="1:12" ht="18.75" customHeight="1" x14ac:dyDescent="0.25"/>
    <row r="73" spans="1:12" ht="19.5" customHeight="1" x14ac:dyDescent="0.3">
      <c r="H73" s="100" t="s">
        <v>219</v>
      </c>
      <c r="I73" s="100"/>
      <c r="J73" s="100"/>
      <c r="K73" s="100"/>
      <c r="L73" s="100"/>
    </row>
    <row r="74" spans="1:12" x14ac:dyDescent="0.25">
      <c r="E74" s="10"/>
    </row>
    <row r="75" spans="1:12" x14ac:dyDescent="0.25">
      <c r="E75" s="10"/>
    </row>
    <row r="79" spans="1:12" x14ac:dyDescent="0.25">
      <c r="B79" s="11"/>
      <c r="H79" s="10"/>
      <c r="I79" s="10"/>
      <c r="J79" s="10"/>
    </row>
    <row r="80" spans="1:12" x14ac:dyDescent="0.25">
      <c r="B80" s="11"/>
      <c r="H80" s="10"/>
      <c r="I80" s="10"/>
      <c r="J80" s="10"/>
    </row>
  </sheetData>
  <mergeCells count="18">
    <mergeCell ref="G6:G7"/>
    <mergeCell ref="H6:J6"/>
    <mergeCell ref="K6:K7"/>
    <mergeCell ref="F5:J5"/>
    <mergeCell ref="F6:F7"/>
    <mergeCell ref="H73:L73"/>
    <mergeCell ref="J1:L1"/>
    <mergeCell ref="A2:L2"/>
    <mergeCell ref="B5:B7"/>
    <mergeCell ref="C5:D5"/>
    <mergeCell ref="E5:E7"/>
    <mergeCell ref="A5:A7"/>
    <mergeCell ref="A3:L3"/>
    <mergeCell ref="C6:C7"/>
    <mergeCell ref="D6:D7"/>
    <mergeCell ref="J4:L4"/>
    <mergeCell ref="K5:L5"/>
    <mergeCell ref="L6:L7"/>
  </mergeCells>
  <phoneticPr fontId="2" type="noConversion"/>
  <printOptions horizontalCentered="1"/>
  <pageMargins left="0.5" right="0.25" top="0.8" bottom="0.8" header="0" footer="0.2"/>
  <pageSetup paperSize="9" scale="85" orientation="landscape" r:id="rId1"/>
  <headerFooter alignWithMargins="0">
    <oddFooter>&amp;C&amp;"Times New Roman,Regular"&amp;11&amp;P/3 (Biểu số 02/QTNS)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1"/>
  <sheetViews>
    <sheetView tabSelected="1" workbookViewId="0">
      <pane xSplit="2" ySplit="7" topLeftCell="E19" activePane="bottomRight" state="frozen"/>
      <selection pane="topRight" activeCell="C1" sqref="C1"/>
      <selection pane="bottomLeft" activeCell="A8" sqref="A8"/>
      <selection pane="bottomRight" activeCell="F14" sqref="F14"/>
    </sheetView>
  </sheetViews>
  <sheetFormatPr defaultColWidth="9.109375" defaultRowHeight="13.2" x14ac:dyDescent="0.25"/>
  <cols>
    <col min="1" max="1" width="6.109375" style="51" customWidth="1"/>
    <col min="2" max="2" width="31.109375" style="51" customWidth="1"/>
    <col min="3" max="3" width="17.44140625" style="51" customWidth="1"/>
    <col min="4" max="4" width="11.33203125" style="51" bestFit="1" customWidth="1"/>
    <col min="5" max="5" width="11" style="51" bestFit="1" customWidth="1"/>
    <col min="6" max="7" width="10.109375" style="51" bestFit="1" customWidth="1"/>
    <col min="8" max="8" width="12.5546875" style="51" customWidth="1"/>
    <col min="9" max="9" width="11.33203125" style="51" bestFit="1" customWidth="1"/>
    <col min="10" max="11" width="10.109375" style="51" bestFit="1" customWidth="1"/>
    <col min="12" max="13" width="9.109375" style="51"/>
    <col min="14" max="15" width="12" style="52" customWidth="1"/>
    <col min="16" max="16" width="15" style="52" bestFit="1" customWidth="1"/>
    <col min="17" max="17" width="11.88671875" style="52" customWidth="1"/>
    <col min="18" max="20" width="9.109375" style="52"/>
    <col min="21" max="16384" width="9.109375" style="51"/>
  </cols>
  <sheetData>
    <row r="1" spans="1:20" ht="16.8" x14ac:dyDescent="0.3">
      <c r="A1" s="54"/>
      <c r="B1" s="55"/>
      <c r="C1" s="54"/>
      <c r="D1" s="54"/>
      <c r="E1" s="54"/>
      <c r="F1" s="54"/>
      <c r="G1" s="54"/>
      <c r="H1" s="54"/>
      <c r="I1" s="54"/>
      <c r="J1" s="54"/>
      <c r="K1" s="107" t="s">
        <v>94</v>
      </c>
      <c r="L1" s="107"/>
      <c r="M1" s="107"/>
      <c r="N1" s="88"/>
    </row>
    <row r="2" spans="1:20" ht="17.399999999999999" x14ac:dyDescent="0.25">
      <c r="A2" s="108" t="s">
        <v>204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76"/>
    </row>
    <row r="3" spans="1:20" ht="18" x14ac:dyDescent="0.25">
      <c r="A3" s="109" t="s">
        <v>222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77"/>
    </row>
    <row r="4" spans="1:20" ht="13.8" x14ac:dyDescent="0.25">
      <c r="A4" s="56"/>
      <c r="B4" s="57"/>
      <c r="C4" s="58"/>
      <c r="D4" s="59"/>
      <c r="E4" s="59"/>
      <c r="F4" s="59"/>
      <c r="G4" s="59"/>
      <c r="H4" s="59"/>
      <c r="I4" s="59"/>
      <c r="J4" s="59"/>
      <c r="K4" s="110" t="s">
        <v>187</v>
      </c>
      <c r="L4" s="110"/>
      <c r="M4" s="110"/>
      <c r="N4" s="78"/>
    </row>
    <row r="5" spans="1:20" ht="21" customHeight="1" x14ac:dyDescent="0.25">
      <c r="A5" s="105" t="s">
        <v>95</v>
      </c>
      <c r="B5" s="105" t="s">
        <v>96</v>
      </c>
      <c r="C5" s="105" t="s">
        <v>205</v>
      </c>
      <c r="D5" s="112" t="s">
        <v>206</v>
      </c>
      <c r="E5" s="113"/>
      <c r="F5" s="113"/>
      <c r="G5" s="114"/>
      <c r="H5" s="112" t="s">
        <v>207</v>
      </c>
      <c r="I5" s="113"/>
      <c r="J5" s="113"/>
      <c r="K5" s="114"/>
      <c r="L5" s="115" t="s">
        <v>97</v>
      </c>
      <c r="M5" s="115"/>
      <c r="N5" s="79"/>
    </row>
    <row r="6" spans="1:20" ht="18.75" customHeight="1" x14ac:dyDescent="0.25">
      <c r="A6" s="111"/>
      <c r="B6" s="111"/>
      <c r="C6" s="111" t="s">
        <v>98</v>
      </c>
      <c r="D6" s="105" t="s">
        <v>99</v>
      </c>
      <c r="E6" s="105" t="s">
        <v>100</v>
      </c>
      <c r="F6" s="105" t="s">
        <v>101</v>
      </c>
      <c r="G6" s="105" t="s">
        <v>102</v>
      </c>
      <c r="H6" s="105" t="s">
        <v>103</v>
      </c>
      <c r="I6" s="105" t="s">
        <v>100</v>
      </c>
      <c r="J6" s="105" t="s">
        <v>104</v>
      </c>
      <c r="K6" s="105" t="s">
        <v>105</v>
      </c>
      <c r="L6" s="105" t="s">
        <v>106</v>
      </c>
      <c r="M6" s="105" t="s">
        <v>107</v>
      </c>
      <c r="N6" s="79"/>
    </row>
    <row r="7" spans="1:20" ht="16.5" customHeight="1" x14ac:dyDescent="0.25">
      <c r="A7" s="106"/>
      <c r="B7" s="106"/>
      <c r="C7" s="106" t="s">
        <v>108</v>
      </c>
      <c r="D7" s="106"/>
      <c r="E7" s="106"/>
      <c r="F7" s="106"/>
      <c r="G7" s="106"/>
      <c r="H7" s="106"/>
      <c r="I7" s="106"/>
      <c r="J7" s="106"/>
      <c r="K7" s="106"/>
      <c r="L7" s="106" t="s">
        <v>109</v>
      </c>
      <c r="M7" s="106" t="s">
        <v>110</v>
      </c>
      <c r="N7" s="80"/>
    </row>
    <row r="8" spans="1:20" s="49" customFormat="1" ht="20.100000000000001" customHeight="1" x14ac:dyDescent="0.25">
      <c r="A8" s="89">
        <v>1</v>
      </c>
      <c r="B8" s="89">
        <v>2</v>
      </c>
      <c r="C8" s="89">
        <v>3</v>
      </c>
      <c r="D8" s="89" t="s">
        <v>111</v>
      </c>
      <c r="E8" s="89">
        <v>5</v>
      </c>
      <c r="F8" s="89">
        <v>6</v>
      </c>
      <c r="G8" s="89">
        <v>7</v>
      </c>
      <c r="H8" s="89" t="s">
        <v>112</v>
      </c>
      <c r="I8" s="89">
        <v>9</v>
      </c>
      <c r="J8" s="89">
        <v>10</v>
      </c>
      <c r="K8" s="89">
        <v>11</v>
      </c>
      <c r="L8" s="89" t="s">
        <v>113</v>
      </c>
      <c r="M8" s="89" t="s">
        <v>114</v>
      </c>
      <c r="N8" s="79"/>
      <c r="O8" s="60"/>
      <c r="P8" s="60"/>
      <c r="Q8" s="60"/>
      <c r="R8" s="60"/>
      <c r="S8" s="60"/>
      <c r="T8" s="60"/>
    </row>
    <row r="9" spans="1:20" s="49" customFormat="1" ht="20.100000000000001" customHeight="1" x14ac:dyDescent="0.25">
      <c r="A9" s="61"/>
      <c r="B9" s="62" t="s">
        <v>115</v>
      </c>
      <c r="C9" s="63">
        <f t="shared" ref="C9:K9" si="0">C10+C37+C46+C47</f>
        <v>11165852</v>
      </c>
      <c r="D9" s="63">
        <f t="shared" si="0"/>
        <v>13414767</v>
      </c>
      <c r="E9" s="63">
        <f t="shared" si="0"/>
        <v>7754477</v>
      </c>
      <c r="F9" s="63">
        <f t="shared" si="0"/>
        <v>4156544</v>
      </c>
      <c r="G9" s="63">
        <f t="shared" si="0"/>
        <v>1503746</v>
      </c>
      <c r="H9" s="63">
        <f t="shared" si="0"/>
        <v>24307736</v>
      </c>
      <c r="I9" s="63">
        <f t="shared" si="0"/>
        <v>14343623</v>
      </c>
      <c r="J9" s="63">
        <f t="shared" si="0"/>
        <v>6735692</v>
      </c>
      <c r="K9" s="63">
        <f t="shared" si="0"/>
        <v>3228421</v>
      </c>
      <c r="L9" s="64">
        <f>H9/C9</f>
        <v>2.1769710005112013</v>
      </c>
      <c r="M9" s="64">
        <f>H9/D9</f>
        <v>1.8120132835702625</v>
      </c>
      <c r="N9" s="75"/>
      <c r="O9" s="60"/>
      <c r="P9" s="60"/>
      <c r="Q9" s="60"/>
      <c r="R9" s="60"/>
      <c r="S9" s="60"/>
      <c r="T9" s="60"/>
    </row>
    <row r="10" spans="1:20" s="49" customFormat="1" ht="20.100000000000001" customHeight="1" x14ac:dyDescent="0.25">
      <c r="A10" s="62" t="s">
        <v>14</v>
      </c>
      <c r="B10" s="65" t="s">
        <v>116</v>
      </c>
      <c r="C10" s="66">
        <f>C11+C17+C31+C32+C33+C34+C35</f>
        <v>11165852</v>
      </c>
      <c r="D10" s="66">
        <f t="shared" ref="D10:K10" si="1">D11+D17+D31+D32+D33+D34+D35+D36</f>
        <v>13061130</v>
      </c>
      <c r="E10" s="66">
        <f t="shared" si="1"/>
        <v>7603840</v>
      </c>
      <c r="F10" s="66">
        <f t="shared" si="1"/>
        <v>3953544</v>
      </c>
      <c r="G10" s="66">
        <f t="shared" si="1"/>
        <v>1503746</v>
      </c>
      <c r="H10" s="66">
        <f t="shared" si="1"/>
        <v>16200163</v>
      </c>
      <c r="I10" s="66">
        <f t="shared" si="1"/>
        <v>8889637</v>
      </c>
      <c r="J10" s="66">
        <f t="shared" si="1"/>
        <v>4400339</v>
      </c>
      <c r="K10" s="66">
        <f t="shared" si="1"/>
        <v>2910187</v>
      </c>
      <c r="L10" s="64">
        <f t="shared" ref="L10:L50" si="2">H10/C10</f>
        <v>1.4508667139775808</v>
      </c>
      <c r="M10" s="64">
        <f t="shared" ref="M10:M50" si="3">H10/D10</f>
        <v>1.2403339527284392</v>
      </c>
      <c r="N10" s="75"/>
      <c r="O10" s="60"/>
      <c r="P10" s="60"/>
      <c r="Q10" s="60"/>
      <c r="R10" s="60"/>
      <c r="S10" s="60"/>
      <c r="T10" s="60"/>
    </row>
    <row r="11" spans="1:20" s="49" customFormat="1" ht="20.100000000000001" customHeight="1" x14ac:dyDescent="0.25">
      <c r="A11" s="62">
        <v>1</v>
      </c>
      <c r="B11" s="67" t="s">
        <v>117</v>
      </c>
      <c r="C11" s="63">
        <f>C12+SUM(C15:C16)</f>
        <v>2626274</v>
      </c>
      <c r="D11" s="63">
        <f>D12+SUM(D15:D16)</f>
        <v>3958656</v>
      </c>
      <c r="E11" s="63">
        <f>E12+SUM(E15:E16)</f>
        <v>3470460</v>
      </c>
      <c r="F11" s="63">
        <f>F12+SUM(F15:F16)</f>
        <v>344346</v>
      </c>
      <c r="G11" s="63">
        <f>G12+SUM(G15:G16)</f>
        <v>143850</v>
      </c>
      <c r="H11" s="63">
        <f>J11+K11+I11</f>
        <v>4368475</v>
      </c>
      <c r="I11" s="63">
        <f>I12+I15+I16</f>
        <v>3178764</v>
      </c>
      <c r="J11" s="63">
        <f>J12+J15+J16</f>
        <v>325355</v>
      </c>
      <c r="K11" s="63">
        <f>K12+K15+K16</f>
        <v>864356</v>
      </c>
      <c r="L11" s="64">
        <f t="shared" si="2"/>
        <v>1.663373661697142</v>
      </c>
      <c r="M11" s="64">
        <f t="shared" si="3"/>
        <v>1.1035247821482848</v>
      </c>
      <c r="N11" s="75"/>
      <c r="O11" s="60"/>
      <c r="P11" s="60"/>
      <c r="Q11" s="60"/>
      <c r="R11" s="60"/>
      <c r="S11" s="60"/>
      <c r="T11" s="60"/>
    </row>
    <row r="12" spans="1:20" s="49" customFormat="1" ht="20.100000000000001" customHeight="1" x14ac:dyDescent="0.25">
      <c r="A12" s="61" t="s">
        <v>63</v>
      </c>
      <c r="B12" s="68" t="s">
        <v>118</v>
      </c>
      <c r="C12" s="69">
        <f>C13+C14</f>
        <v>1976274</v>
      </c>
      <c r="D12" s="69">
        <f t="shared" ref="D12:K12" si="4">D13+D14</f>
        <v>3070224</v>
      </c>
      <c r="E12" s="69">
        <f>E13+E14</f>
        <v>3070224</v>
      </c>
      <c r="F12" s="69">
        <f t="shared" si="4"/>
        <v>0</v>
      </c>
      <c r="G12" s="69">
        <f t="shared" si="4"/>
        <v>0</v>
      </c>
      <c r="H12" s="69">
        <f>I12+J12+K12</f>
        <v>3178175</v>
      </c>
      <c r="I12" s="69">
        <f t="shared" si="4"/>
        <v>2596115</v>
      </c>
      <c r="J12" s="69">
        <f t="shared" si="4"/>
        <v>20384</v>
      </c>
      <c r="K12" s="69">
        <f t="shared" si="4"/>
        <v>561676</v>
      </c>
      <c r="L12" s="64"/>
      <c r="M12" s="64">
        <f t="shared" si="3"/>
        <v>1.0351606267164872</v>
      </c>
      <c r="N12" s="75"/>
      <c r="O12" s="60"/>
      <c r="P12" s="60"/>
      <c r="Q12" s="60"/>
      <c r="R12" s="60"/>
      <c r="S12" s="60"/>
      <c r="T12" s="60"/>
    </row>
    <row r="13" spans="1:20" s="84" customFormat="1" ht="20.100000000000001" customHeight="1" x14ac:dyDescent="0.3">
      <c r="A13" s="70"/>
      <c r="B13" s="71" t="s">
        <v>119</v>
      </c>
      <c r="C13" s="72">
        <v>541900</v>
      </c>
      <c r="D13" s="72">
        <f>E13+F13+G13</f>
        <v>1635850</v>
      </c>
      <c r="E13" s="72">
        <f>541900+1093950</f>
        <v>1635850</v>
      </c>
      <c r="F13" s="72"/>
      <c r="G13" s="72"/>
      <c r="H13" s="72">
        <f>I13+J13+K13</f>
        <v>1602472</v>
      </c>
      <c r="I13" s="72">
        <f>1296662</f>
        <v>1296662</v>
      </c>
      <c r="J13" s="72"/>
      <c r="K13" s="85">
        <v>305810</v>
      </c>
      <c r="L13" s="81"/>
      <c r="M13" s="81">
        <f t="shared" si="3"/>
        <v>0.97959592872207113</v>
      </c>
      <c r="N13" s="82"/>
      <c r="O13" s="83"/>
      <c r="P13" s="83"/>
      <c r="Q13" s="83"/>
      <c r="R13" s="83"/>
      <c r="S13" s="83"/>
      <c r="T13" s="83"/>
    </row>
    <row r="14" spans="1:20" s="84" customFormat="1" ht="33" customHeight="1" x14ac:dyDescent="0.3">
      <c r="A14" s="70"/>
      <c r="B14" s="71" t="s">
        <v>120</v>
      </c>
      <c r="C14" s="72">
        <f>1434374</f>
        <v>1434374</v>
      </c>
      <c r="D14" s="72">
        <f t="shared" ref="D14:D16" si="5">E14+F14+G14</f>
        <v>1434374</v>
      </c>
      <c r="E14" s="72">
        <f>348000+1086374</f>
        <v>1434374</v>
      </c>
      <c r="F14" s="72"/>
      <c r="G14" s="72"/>
      <c r="H14" s="72">
        <f>I14+J14+K14</f>
        <v>1575703</v>
      </c>
      <c r="I14" s="72">
        <v>1299453</v>
      </c>
      <c r="J14" s="72">
        <v>20384</v>
      </c>
      <c r="K14" s="72">
        <v>255866</v>
      </c>
      <c r="L14" s="81"/>
      <c r="M14" s="81">
        <f t="shared" si="3"/>
        <v>1.0985300904784945</v>
      </c>
      <c r="N14" s="82"/>
      <c r="O14" s="83"/>
      <c r="P14" s="83"/>
      <c r="Q14" s="83"/>
      <c r="R14" s="83"/>
      <c r="S14" s="83"/>
      <c r="T14" s="83"/>
    </row>
    <row r="15" spans="1:20" s="49" customFormat="1" ht="20.25" customHeight="1" x14ac:dyDescent="0.25">
      <c r="A15" s="61" t="s">
        <v>65</v>
      </c>
      <c r="B15" s="68" t="s">
        <v>188</v>
      </c>
      <c r="C15" s="69"/>
      <c r="D15" s="72">
        <f t="shared" si="5"/>
        <v>124000</v>
      </c>
      <c r="E15" s="69">
        <v>124000</v>
      </c>
      <c r="F15" s="69"/>
      <c r="G15" s="69"/>
      <c r="H15" s="69">
        <f>I15+J15+K15</f>
        <v>130850</v>
      </c>
      <c r="I15" s="69">
        <v>130850</v>
      </c>
      <c r="J15" s="69"/>
      <c r="K15" s="69"/>
      <c r="L15" s="64"/>
      <c r="M15" s="64">
        <f t="shared" si="3"/>
        <v>1.0552419354838709</v>
      </c>
      <c r="N15" s="75"/>
      <c r="O15" s="60"/>
      <c r="P15" s="60"/>
      <c r="Q15" s="60"/>
      <c r="R15" s="60"/>
      <c r="S15" s="60"/>
      <c r="T15" s="60"/>
    </row>
    <row r="16" spans="1:20" s="49" customFormat="1" ht="33.75" customHeight="1" x14ac:dyDescent="0.25">
      <c r="A16" s="61" t="s">
        <v>67</v>
      </c>
      <c r="B16" s="68" t="s">
        <v>121</v>
      </c>
      <c r="C16" s="69">
        <v>650000</v>
      </c>
      <c r="D16" s="69">
        <f t="shared" si="5"/>
        <v>764432</v>
      </c>
      <c r="E16" s="69">
        <v>276236</v>
      </c>
      <c r="F16" s="69">
        <v>344346</v>
      </c>
      <c r="G16" s="69">
        <v>143850</v>
      </c>
      <c r="H16" s="69">
        <f>I16+J16+K16</f>
        <v>1059450</v>
      </c>
      <c r="I16" s="69">
        <v>451799</v>
      </c>
      <c r="J16" s="69">
        <v>304971</v>
      </c>
      <c r="K16" s="69">
        <v>302680</v>
      </c>
      <c r="L16" s="64"/>
      <c r="M16" s="64">
        <f t="shared" si="3"/>
        <v>1.3859309918998681</v>
      </c>
      <c r="N16" s="75"/>
      <c r="O16" s="73"/>
      <c r="P16" s="60"/>
      <c r="Q16" s="60"/>
      <c r="R16" s="60"/>
      <c r="S16" s="60"/>
      <c r="T16" s="60"/>
    </row>
    <row r="17" spans="1:20" s="49" customFormat="1" ht="20.100000000000001" customHeight="1" x14ac:dyDescent="0.25">
      <c r="A17" s="62">
        <v>2</v>
      </c>
      <c r="B17" s="67" t="s">
        <v>122</v>
      </c>
      <c r="C17" s="63">
        <f>7351425+779914</f>
        <v>8131339</v>
      </c>
      <c r="D17" s="63">
        <f>D18+D19+D20+D21+D22+D23+D24+D25+D26+D27+D28+D29+D30</f>
        <v>7924747</v>
      </c>
      <c r="E17" s="63">
        <f>E18+E19+E20+E21+E22+E23+E24+E25+E26+E27+E28+E29+E30</f>
        <v>3458521</v>
      </c>
      <c r="F17" s="63">
        <f>F18+F19+F20+F21+F22+F23+F24+F25+F26+F27+F28+F29+F30</f>
        <v>3224105</v>
      </c>
      <c r="G17" s="63">
        <f>G18+G19+G20+G21+G22+G23+G24+G25+G26+G27+G28+G29+G30</f>
        <v>1242121</v>
      </c>
      <c r="H17" s="63">
        <f t="shared" ref="H17:K17" si="6">H18+H19+H20+H21+H22+H23+H24+H25+H26+H27+H28+H29+H30</f>
        <v>7641258</v>
      </c>
      <c r="I17" s="63">
        <f>I18+I19+I20+I21+I22+I23+I24+I25+I26+I27+I28+I29+I30</f>
        <v>2334856</v>
      </c>
      <c r="J17" s="63">
        <f t="shared" si="6"/>
        <v>3415559</v>
      </c>
      <c r="K17" s="63">
        <f t="shared" si="6"/>
        <v>1890843</v>
      </c>
      <c r="L17" s="64">
        <f t="shared" si="2"/>
        <v>0.93972936068708979</v>
      </c>
      <c r="M17" s="64">
        <f t="shared" si="3"/>
        <v>0.96422737533450598</v>
      </c>
      <c r="N17" s="75"/>
      <c r="O17" s="60"/>
      <c r="P17" s="60"/>
      <c r="Q17" s="60"/>
      <c r="R17" s="60"/>
      <c r="S17" s="60"/>
      <c r="T17" s="60"/>
    </row>
    <row r="18" spans="1:20" s="49" customFormat="1" ht="20.100000000000001" customHeight="1" x14ac:dyDescent="0.25">
      <c r="A18" s="61" t="s">
        <v>74</v>
      </c>
      <c r="B18" s="68" t="s">
        <v>123</v>
      </c>
      <c r="C18" s="69"/>
      <c r="D18" s="69">
        <f>E18+F18+G18</f>
        <v>962289</v>
      </c>
      <c r="E18" s="69">
        <f>331874+460879-72079-18000</f>
        <v>702674</v>
      </c>
      <c r="F18" s="69">
        <v>199149</v>
      </c>
      <c r="G18" s="69">
        <v>60466</v>
      </c>
      <c r="H18" s="69">
        <f>I18+J18+K18</f>
        <v>637398</v>
      </c>
      <c r="I18" s="69">
        <f>267786-93986-I44</f>
        <v>173713</v>
      </c>
      <c r="J18" s="69">
        <f>97882-J44+1</f>
        <v>95989</v>
      </c>
      <c r="K18" s="69">
        <f>378357-K44</f>
        <v>367696</v>
      </c>
      <c r="L18" s="64"/>
      <c r="M18" s="64">
        <f t="shared" si="3"/>
        <v>0.66237689509076791</v>
      </c>
      <c r="N18" s="75"/>
      <c r="O18" s="60"/>
      <c r="P18" s="60"/>
      <c r="Q18" s="60"/>
      <c r="R18" s="60"/>
      <c r="S18" s="60"/>
      <c r="T18" s="60"/>
    </row>
    <row r="19" spans="1:20" s="49" customFormat="1" ht="20.100000000000001" customHeight="1" x14ac:dyDescent="0.25">
      <c r="A19" s="61" t="s">
        <v>75</v>
      </c>
      <c r="B19" s="68" t="s">
        <v>124</v>
      </c>
      <c r="C19" s="69"/>
      <c r="D19" s="69">
        <f t="shared" ref="D19:D30" si="7">E19+F19+G19</f>
        <v>92132</v>
      </c>
      <c r="E19" s="69">
        <f>17160+34800</f>
        <v>51960</v>
      </c>
      <c r="F19" s="69">
        <v>30745</v>
      </c>
      <c r="G19" s="69">
        <v>9427</v>
      </c>
      <c r="H19" s="69">
        <f t="shared" ref="H19:H30" si="8">I19+J19+K19</f>
        <v>113963</v>
      </c>
      <c r="I19" s="69">
        <v>41173</v>
      </c>
      <c r="J19" s="69">
        <v>70203</v>
      </c>
      <c r="K19" s="69">
        <v>2587</v>
      </c>
      <c r="L19" s="64"/>
      <c r="M19" s="64">
        <f t="shared" si="3"/>
        <v>1.236953501497851</v>
      </c>
      <c r="N19" s="75"/>
      <c r="O19" s="60"/>
      <c r="P19" s="60"/>
      <c r="Q19" s="60"/>
      <c r="R19" s="60"/>
      <c r="S19" s="60"/>
      <c r="T19" s="60"/>
    </row>
    <row r="20" spans="1:20" s="49" customFormat="1" ht="20.100000000000001" customHeight="1" x14ac:dyDescent="0.25">
      <c r="A20" s="61" t="s">
        <v>76</v>
      </c>
      <c r="B20" s="68" t="s">
        <v>125</v>
      </c>
      <c r="C20" s="69"/>
      <c r="D20" s="69">
        <f t="shared" si="7"/>
        <v>3234895</v>
      </c>
      <c r="E20" s="69">
        <f>888607-51162</f>
        <v>837445</v>
      </c>
      <c r="F20" s="69">
        <v>2343866</v>
      </c>
      <c r="G20" s="69">
        <v>53584</v>
      </c>
      <c r="H20" s="69">
        <f t="shared" si="8"/>
        <v>2847620</v>
      </c>
      <c r="I20" s="69">
        <f>578158-I42</f>
        <v>536097</v>
      </c>
      <c r="J20" s="69">
        <f>2347216-J42</f>
        <v>2296126</v>
      </c>
      <c r="K20" s="69">
        <v>15397</v>
      </c>
      <c r="L20" s="64"/>
      <c r="M20" s="64">
        <f t="shared" si="3"/>
        <v>0.8802820493400868</v>
      </c>
      <c r="N20" s="75"/>
      <c r="O20" s="60"/>
      <c r="P20" s="60"/>
      <c r="Q20" s="60"/>
      <c r="R20" s="60"/>
      <c r="S20" s="60"/>
      <c r="T20" s="60"/>
    </row>
    <row r="21" spans="1:20" s="49" customFormat="1" ht="20.100000000000001" customHeight="1" x14ac:dyDescent="0.25">
      <c r="A21" s="61" t="s">
        <v>93</v>
      </c>
      <c r="B21" s="68" t="s">
        <v>126</v>
      </c>
      <c r="C21" s="69"/>
      <c r="D21" s="69">
        <f t="shared" si="7"/>
        <v>495292</v>
      </c>
      <c r="E21" s="69">
        <f>310761+21500</f>
        <v>332261</v>
      </c>
      <c r="F21" s="69">
        <v>38269</v>
      </c>
      <c r="G21" s="69">
        <v>124762</v>
      </c>
      <c r="H21" s="69">
        <f t="shared" si="8"/>
        <v>523901</v>
      </c>
      <c r="I21" s="69">
        <f>310133+5439</f>
        <v>315572</v>
      </c>
      <c r="J21" s="69">
        <f>190127+4834</f>
        <v>194961</v>
      </c>
      <c r="K21" s="69">
        <f>11564+1804</f>
        <v>13368</v>
      </c>
      <c r="L21" s="64"/>
      <c r="M21" s="64">
        <f t="shared" si="3"/>
        <v>1.057761885917802</v>
      </c>
      <c r="N21" s="75"/>
      <c r="O21" s="60"/>
      <c r="P21" s="60"/>
      <c r="Q21" s="60"/>
      <c r="R21" s="60"/>
      <c r="S21" s="60"/>
      <c r="T21" s="60"/>
    </row>
    <row r="22" spans="1:20" s="49" customFormat="1" ht="20.100000000000001" customHeight="1" x14ac:dyDescent="0.25">
      <c r="A22" s="61" t="s">
        <v>78</v>
      </c>
      <c r="B22" s="68" t="s">
        <v>127</v>
      </c>
      <c r="C22" s="69"/>
      <c r="D22" s="69">
        <f t="shared" si="7"/>
        <v>127143</v>
      </c>
      <c r="E22" s="69">
        <f>48076+29900</f>
        <v>77976</v>
      </c>
      <c r="F22" s="69">
        <v>23450</v>
      </c>
      <c r="G22" s="69">
        <v>25717</v>
      </c>
      <c r="H22" s="69">
        <f t="shared" si="8"/>
        <v>118293</v>
      </c>
      <c r="I22" s="69">
        <f>41149+23593</f>
        <v>64742</v>
      </c>
      <c r="J22" s="69">
        <f>34211+2737</f>
        <v>36948</v>
      </c>
      <c r="K22" s="69">
        <f>3889+12714</f>
        <v>16603</v>
      </c>
      <c r="L22" s="64"/>
      <c r="M22" s="64">
        <f t="shared" si="3"/>
        <v>0.93039333663670043</v>
      </c>
      <c r="N22" s="75"/>
      <c r="O22" s="60"/>
      <c r="P22" s="60"/>
      <c r="Q22" s="60"/>
      <c r="R22" s="60"/>
      <c r="S22" s="60"/>
      <c r="T22" s="60"/>
    </row>
    <row r="23" spans="1:20" s="49" customFormat="1" ht="33.75" customHeight="1" x14ac:dyDescent="0.25">
      <c r="A23" s="61" t="s">
        <v>79</v>
      </c>
      <c r="B23" s="68" t="s">
        <v>128</v>
      </c>
      <c r="C23" s="69"/>
      <c r="D23" s="69">
        <f t="shared" si="7"/>
        <v>34789</v>
      </c>
      <c r="E23" s="69">
        <f>19400+2000</f>
        <v>21400</v>
      </c>
      <c r="F23" s="69">
        <v>13389</v>
      </c>
      <c r="G23" s="69"/>
      <c r="H23" s="69">
        <f t="shared" si="8"/>
        <v>39774</v>
      </c>
      <c r="I23" s="69">
        <v>21197</v>
      </c>
      <c r="J23" s="69">
        <v>17451</v>
      </c>
      <c r="K23" s="69">
        <v>1126</v>
      </c>
      <c r="L23" s="64"/>
      <c r="M23" s="64">
        <f t="shared" si="3"/>
        <v>1.1432924200178218</v>
      </c>
      <c r="N23" s="75"/>
      <c r="O23" s="60"/>
      <c r="P23" s="60"/>
      <c r="Q23" s="60"/>
      <c r="R23" s="60"/>
      <c r="S23" s="60"/>
      <c r="T23" s="60"/>
    </row>
    <row r="24" spans="1:20" s="49" customFormat="1" ht="20.100000000000001" customHeight="1" x14ac:dyDescent="0.25">
      <c r="A24" s="61" t="s">
        <v>80</v>
      </c>
      <c r="B24" s="68" t="s">
        <v>129</v>
      </c>
      <c r="C24" s="69"/>
      <c r="D24" s="69">
        <f t="shared" si="7"/>
        <v>37952</v>
      </c>
      <c r="E24" s="69">
        <f>32952+5000</f>
        <v>37952</v>
      </c>
      <c r="F24" s="69"/>
      <c r="G24" s="69"/>
      <c r="H24" s="69">
        <f t="shared" si="8"/>
        <v>30877</v>
      </c>
      <c r="I24" s="69">
        <v>24896</v>
      </c>
      <c r="J24" s="69">
        <v>5981</v>
      </c>
      <c r="K24" s="69"/>
      <c r="L24" s="64"/>
      <c r="M24" s="64">
        <f t="shared" si="3"/>
        <v>0.8135803119730185</v>
      </c>
      <c r="N24" s="75"/>
      <c r="O24" s="60"/>
      <c r="P24" s="60"/>
      <c r="Q24" s="60"/>
      <c r="R24" s="60"/>
      <c r="S24" s="60"/>
      <c r="T24" s="60"/>
    </row>
    <row r="25" spans="1:20" s="49" customFormat="1" ht="20.100000000000001" customHeight="1" x14ac:dyDescent="0.25">
      <c r="A25" s="61" t="s">
        <v>130</v>
      </c>
      <c r="B25" s="68" t="s">
        <v>131</v>
      </c>
      <c r="C25" s="69"/>
      <c r="D25" s="69">
        <f t="shared" si="7"/>
        <v>657228</v>
      </c>
      <c r="E25" s="69">
        <f>276546+2500</f>
        <v>279046</v>
      </c>
      <c r="F25" s="69">
        <v>74887</v>
      </c>
      <c r="G25" s="69">
        <v>303295</v>
      </c>
      <c r="H25" s="69">
        <f t="shared" si="8"/>
        <v>858545</v>
      </c>
      <c r="I25" s="69">
        <v>391809</v>
      </c>
      <c r="J25" s="69">
        <v>106388</v>
      </c>
      <c r="K25" s="69">
        <v>360348</v>
      </c>
      <c r="L25" s="64"/>
      <c r="M25" s="64">
        <f t="shared" si="3"/>
        <v>1.3063122691060027</v>
      </c>
      <c r="N25" s="75"/>
      <c r="O25" s="60"/>
      <c r="P25" s="60"/>
      <c r="Q25" s="60"/>
      <c r="R25" s="60"/>
      <c r="S25" s="60"/>
      <c r="T25" s="60"/>
    </row>
    <row r="26" spans="1:20" s="49" customFormat="1" ht="20.100000000000001" customHeight="1" x14ac:dyDescent="0.25">
      <c r="A26" s="61" t="s">
        <v>132</v>
      </c>
      <c r="B26" s="68" t="s">
        <v>133</v>
      </c>
      <c r="C26" s="69"/>
      <c r="D26" s="69">
        <f t="shared" si="7"/>
        <v>186931</v>
      </c>
      <c r="E26" s="69">
        <f>61100+50078+11000</f>
        <v>122178</v>
      </c>
      <c r="F26" s="69">
        <f>20779+25192</f>
        <v>45971</v>
      </c>
      <c r="G26" s="69">
        <v>18782</v>
      </c>
      <c r="H26" s="69">
        <f t="shared" si="8"/>
        <v>202821</v>
      </c>
      <c r="I26" s="69">
        <v>97267</v>
      </c>
      <c r="J26" s="69">
        <v>46068</v>
      </c>
      <c r="K26" s="69">
        <v>59486</v>
      </c>
      <c r="L26" s="64"/>
      <c r="M26" s="64">
        <f t="shared" si="3"/>
        <v>1.0850046273758767</v>
      </c>
      <c r="N26" s="75"/>
      <c r="O26" s="60"/>
      <c r="P26" s="60"/>
      <c r="Q26" s="60"/>
      <c r="R26" s="60"/>
      <c r="S26" s="60"/>
      <c r="T26" s="60"/>
    </row>
    <row r="27" spans="1:20" s="49" customFormat="1" ht="20.100000000000001" customHeight="1" x14ac:dyDescent="0.25">
      <c r="A27" s="61" t="s">
        <v>134</v>
      </c>
      <c r="B27" s="68" t="s">
        <v>135</v>
      </c>
      <c r="C27" s="69"/>
      <c r="D27" s="69">
        <f t="shared" si="7"/>
        <v>79225</v>
      </c>
      <c r="E27" s="69">
        <f>27500+23000</f>
        <v>50500</v>
      </c>
      <c r="F27" s="69">
        <v>18525</v>
      </c>
      <c r="G27" s="69">
        <v>10200</v>
      </c>
      <c r="H27" s="69">
        <f t="shared" si="8"/>
        <v>108206</v>
      </c>
      <c r="I27" s="69">
        <v>38956</v>
      </c>
      <c r="J27" s="69">
        <v>25395</v>
      </c>
      <c r="K27" s="69">
        <v>43855</v>
      </c>
      <c r="L27" s="64"/>
      <c r="M27" s="64">
        <f t="shared" si="3"/>
        <v>1.3658062480277691</v>
      </c>
      <c r="N27" s="75"/>
      <c r="O27" s="60"/>
      <c r="P27" s="60"/>
      <c r="Q27" s="60"/>
      <c r="R27" s="60"/>
      <c r="S27" s="60"/>
      <c r="T27" s="60"/>
    </row>
    <row r="28" spans="1:20" s="49" customFormat="1" ht="34.5" customHeight="1" x14ac:dyDescent="0.25">
      <c r="A28" s="61" t="s">
        <v>136</v>
      </c>
      <c r="B28" s="68" t="s">
        <v>137</v>
      </c>
      <c r="C28" s="69"/>
      <c r="D28" s="69">
        <f t="shared" si="7"/>
        <v>1729801</v>
      </c>
      <c r="E28" s="69">
        <f>672886+136145</f>
        <v>809031</v>
      </c>
      <c r="F28" s="69">
        <v>294211</v>
      </c>
      <c r="G28" s="69">
        <v>626559</v>
      </c>
      <c r="H28" s="69">
        <f t="shared" si="8"/>
        <v>2012651</v>
      </c>
      <c r="I28" s="69">
        <v>523748</v>
      </c>
      <c r="J28" s="69">
        <f>512048-J40</f>
        <v>487493</v>
      </c>
      <c r="K28" s="69">
        <f>1028618-K40-K43</f>
        <v>1001410</v>
      </c>
      <c r="L28" s="64"/>
      <c r="M28" s="64">
        <f t="shared" si="3"/>
        <v>1.1635159188831548</v>
      </c>
      <c r="N28" s="75"/>
      <c r="O28" s="60"/>
      <c r="P28" s="60"/>
      <c r="Q28" s="60"/>
      <c r="R28" s="60"/>
      <c r="S28" s="60"/>
      <c r="T28" s="60"/>
    </row>
    <row r="29" spans="1:20" s="49" customFormat="1" ht="21.75" customHeight="1" x14ac:dyDescent="0.25">
      <c r="A29" s="61" t="s">
        <v>138</v>
      </c>
      <c r="B29" s="68" t="s">
        <v>139</v>
      </c>
      <c r="C29" s="69"/>
      <c r="D29" s="69">
        <f t="shared" si="7"/>
        <v>18000</v>
      </c>
      <c r="E29" s="69">
        <v>18000</v>
      </c>
      <c r="F29" s="69"/>
      <c r="G29" s="69"/>
      <c r="H29" s="69">
        <f t="shared" si="8"/>
        <v>10864</v>
      </c>
      <c r="I29" s="69">
        <v>10864</v>
      </c>
      <c r="J29" s="69"/>
      <c r="K29" s="69"/>
      <c r="L29" s="64"/>
      <c r="M29" s="64">
        <f t="shared" si="3"/>
        <v>0.60355555555555551</v>
      </c>
      <c r="N29" s="75"/>
      <c r="O29" s="60"/>
      <c r="P29" s="60"/>
      <c r="Q29" s="60"/>
      <c r="R29" s="60"/>
      <c r="S29" s="60"/>
      <c r="T29" s="60"/>
    </row>
    <row r="30" spans="1:20" s="49" customFormat="1" ht="18.75" customHeight="1" x14ac:dyDescent="0.25">
      <c r="A30" s="61" t="s">
        <v>140</v>
      </c>
      <c r="B30" s="68" t="s">
        <v>141</v>
      </c>
      <c r="C30" s="69"/>
      <c r="D30" s="69">
        <f t="shared" si="7"/>
        <v>269070</v>
      </c>
      <c r="E30" s="69">
        <f>20000+98098</f>
        <v>118098</v>
      </c>
      <c r="F30" s="69">
        <v>141643</v>
      </c>
      <c r="G30" s="69">
        <v>9329</v>
      </c>
      <c r="H30" s="69">
        <f t="shared" si="8"/>
        <v>136345</v>
      </c>
      <c r="I30" s="69">
        <v>94822</v>
      </c>
      <c r="J30" s="69">
        <v>32556</v>
      </c>
      <c r="K30" s="69">
        <v>8967</v>
      </c>
      <c r="L30" s="64"/>
      <c r="M30" s="64">
        <f t="shared" si="3"/>
        <v>0.5067268740476456</v>
      </c>
      <c r="N30" s="75"/>
      <c r="O30" s="60"/>
      <c r="P30" s="60"/>
      <c r="Q30" s="60"/>
      <c r="R30" s="60"/>
      <c r="S30" s="60"/>
      <c r="T30" s="60"/>
    </row>
    <row r="31" spans="1:20" s="50" customFormat="1" ht="21" customHeight="1" x14ac:dyDescent="0.25">
      <c r="A31" s="62">
        <v>3</v>
      </c>
      <c r="B31" s="67" t="s">
        <v>142</v>
      </c>
      <c r="C31" s="63">
        <v>1340</v>
      </c>
      <c r="D31" s="63">
        <v>1340</v>
      </c>
      <c r="E31" s="63">
        <v>1340</v>
      </c>
      <c r="F31" s="63"/>
      <c r="G31" s="63"/>
      <c r="H31" s="63">
        <v>1340</v>
      </c>
      <c r="I31" s="63">
        <v>1340</v>
      </c>
      <c r="J31" s="63"/>
      <c r="K31" s="63"/>
      <c r="L31" s="64">
        <f t="shared" si="2"/>
        <v>1</v>
      </c>
      <c r="M31" s="64">
        <f t="shared" si="3"/>
        <v>1</v>
      </c>
      <c r="N31" s="75"/>
      <c r="O31" s="73"/>
      <c r="P31" s="73"/>
      <c r="Q31" s="73"/>
      <c r="R31" s="73"/>
      <c r="S31" s="73"/>
      <c r="T31" s="73"/>
    </row>
    <row r="32" spans="1:20" s="50" customFormat="1" ht="36" customHeight="1" x14ac:dyDescent="0.25">
      <c r="A32" s="62">
        <v>4</v>
      </c>
      <c r="B32" s="67" t="s">
        <v>143</v>
      </c>
      <c r="C32" s="63">
        <v>232519</v>
      </c>
      <c r="D32" s="63">
        <f t="shared" ref="D32:D33" si="9">E32+F32+G32</f>
        <v>232519</v>
      </c>
      <c r="E32" s="63">
        <v>232519</v>
      </c>
      <c r="F32" s="63"/>
      <c r="G32" s="63"/>
      <c r="H32" s="63">
        <f>I32+J32+K32</f>
        <v>239200</v>
      </c>
      <c r="I32" s="63">
        <v>239200</v>
      </c>
      <c r="J32" s="63"/>
      <c r="K32" s="63"/>
      <c r="L32" s="64">
        <f t="shared" si="2"/>
        <v>1.0287331357867529</v>
      </c>
      <c r="M32" s="64">
        <f t="shared" si="3"/>
        <v>1.0287331357867529</v>
      </c>
      <c r="N32" s="75"/>
      <c r="O32" s="73"/>
      <c r="P32" s="73"/>
      <c r="Q32" s="73"/>
      <c r="R32" s="73"/>
      <c r="S32" s="73"/>
      <c r="T32" s="73"/>
    </row>
    <row r="33" spans="1:20" s="50" customFormat="1" ht="36" customHeight="1" x14ac:dyDescent="0.25">
      <c r="A33" s="62">
        <v>5</v>
      </c>
      <c r="B33" s="67" t="s">
        <v>144</v>
      </c>
      <c r="C33" s="63"/>
      <c r="D33" s="63">
        <f t="shared" si="9"/>
        <v>409860</v>
      </c>
      <c r="E33" s="63">
        <v>181000</v>
      </c>
      <c r="F33" s="63">
        <v>145305</v>
      </c>
      <c r="G33" s="63">
        <v>83555</v>
      </c>
      <c r="H33" s="63">
        <v>0</v>
      </c>
      <c r="I33" s="63"/>
      <c r="J33" s="63"/>
      <c r="K33" s="63"/>
      <c r="L33" s="64"/>
      <c r="M33" s="64">
        <f t="shared" si="3"/>
        <v>0</v>
      </c>
      <c r="N33" s="75"/>
      <c r="O33" s="73"/>
      <c r="P33" s="73"/>
      <c r="Q33" s="73"/>
      <c r="R33" s="73"/>
      <c r="S33" s="73"/>
      <c r="T33" s="73"/>
    </row>
    <row r="34" spans="1:20" s="50" customFormat="1" ht="20.25" customHeight="1" x14ac:dyDescent="0.25">
      <c r="A34" s="62">
        <v>6</v>
      </c>
      <c r="B34" s="67" t="s">
        <v>145</v>
      </c>
      <c r="C34" s="63"/>
      <c r="D34" s="63"/>
      <c r="E34" s="63"/>
      <c r="F34" s="63"/>
      <c r="G34" s="63"/>
      <c r="H34" s="63">
        <f t="shared" ref="H34" si="10">I34+J34+K34</f>
        <v>3949890</v>
      </c>
      <c r="I34" s="63">
        <f>3040941+94536</f>
        <v>3135477</v>
      </c>
      <c r="J34" s="63">
        <v>659425</v>
      </c>
      <c r="K34" s="63">
        <v>154988</v>
      </c>
      <c r="L34" s="64"/>
      <c r="M34" s="64"/>
      <c r="N34" s="63"/>
      <c r="O34" s="63"/>
      <c r="P34" s="73"/>
      <c r="Q34" s="73"/>
      <c r="R34" s="73"/>
      <c r="S34" s="73"/>
      <c r="T34" s="73"/>
    </row>
    <row r="35" spans="1:20" s="50" customFormat="1" ht="19.5" customHeight="1" x14ac:dyDescent="0.25">
      <c r="A35" s="62">
        <v>7</v>
      </c>
      <c r="B35" s="67" t="s">
        <v>146</v>
      </c>
      <c r="C35" s="63">
        <v>174380</v>
      </c>
      <c r="D35" s="63">
        <f t="shared" ref="D35" si="11">E35+F35+G35</f>
        <v>331220</v>
      </c>
      <c r="E35" s="63">
        <v>235000</v>
      </c>
      <c r="F35" s="63">
        <v>62000</v>
      </c>
      <c r="G35" s="63">
        <v>34220</v>
      </c>
      <c r="H35" s="63">
        <v>0</v>
      </c>
      <c r="I35" s="63"/>
      <c r="J35" s="63"/>
      <c r="K35" s="63"/>
      <c r="L35" s="64">
        <f t="shared" si="2"/>
        <v>0</v>
      </c>
      <c r="M35" s="64">
        <f t="shared" si="3"/>
        <v>0</v>
      </c>
      <c r="N35" s="75"/>
      <c r="O35" s="73"/>
      <c r="P35" s="73"/>
      <c r="Q35" s="73"/>
      <c r="R35" s="73"/>
      <c r="S35" s="73"/>
      <c r="T35" s="73"/>
    </row>
    <row r="36" spans="1:20" s="50" customFormat="1" ht="35.25" customHeight="1" x14ac:dyDescent="0.25">
      <c r="A36" s="62">
        <v>8</v>
      </c>
      <c r="B36" s="67" t="s">
        <v>208</v>
      </c>
      <c r="C36" s="63"/>
      <c r="D36" s="63">
        <v>202788</v>
      </c>
      <c r="E36" s="63">
        <v>25000</v>
      </c>
      <c r="F36" s="63">
        <v>177788</v>
      </c>
      <c r="G36" s="63"/>
      <c r="H36" s="63"/>
      <c r="I36" s="63"/>
      <c r="J36" s="63"/>
      <c r="K36" s="63"/>
      <c r="L36" s="64"/>
      <c r="M36" s="64">
        <f t="shared" si="3"/>
        <v>0</v>
      </c>
      <c r="N36" s="75"/>
      <c r="O36" s="73"/>
      <c r="P36" s="73"/>
      <c r="Q36" s="73"/>
      <c r="R36" s="73"/>
      <c r="S36" s="73"/>
      <c r="T36" s="73"/>
    </row>
    <row r="37" spans="1:20" s="50" customFormat="1" ht="36.75" customHeight="1" x14ac:dyDescent="0.25">
      <c r="A37" s="62" t="s">
        <v>27</v>
      </c>
      <c r="B37" s="67" t="s">
        <v>147</v>
      </c>
      <c r="C37" s="63"/>
      <c r="D37" s="63">
        <f>E37+F37</f>
        <v>353637</v>
      </c>
      <c r="E37" s="63">
        <f>143637+7000</f>
        <v>150637</v>
      </c>
      <c r="F37" s="63">
        <v>203000</v>
      </c>
      <c r="G37" s="63"/>
      <c r="H37" s="63">
        <f t="shared" ref="H37" si="12">I37+J37+K37</f>
        <v>438064</v>
      </c>
      <c r="I37" s="63">
        <f>I38+I41+I42+I43+I44+I45</f>
        <v>51014</v>
      </c>
      <c r="J37" s="63">
        <f t="shared" ref="J37:K37" si="13">J38+J41+J42+J43+J44+J45</f>
        <v>77563</v>
      </c>
      <c r="K37" s="63">
        <f t="shared" si="13"/>
        <v>309487</v>
      </c>
      <c r="L37" s="64"/>
      <c r="M37" s="64">
        <f t="shared" si="3"/>
        <v>1.2387391590812047</v>
      </c>
      <c r="N37" s="75"/>
      <c r="O37" s="73"/>
      <c r="P37" s="73"/>
      <c r="Q37" s="73"/>
      <c r="R37" s="73"/>
      <c r="S37" s="73"/>
      <c r="T37" s="73"/>
    </row>
    <row r="38" spans="1:20" s="49" customFormat="1" ht="18" hidden="1" customHeight="1" x14ac:dyDescent="0.25">
      <c r="A38" s="61">
        <v>1</v>
      </c>
      <c r="B38" s="68" t="s">
        <v>209</v>
      </c>
      <c r="C38" s="69"/>
      <c r="D38" s="69"/>
      <c r="E38" s="69"/>
      <c r="F38" s="69"/>
      <c r="G38" s="69"/>
      <c r="H38" s="69"/>
      <c r="I38" s="69"/>
      <c r="J38" s="69">
        <f>J39+J40</f>
        <v>24579</v>
      </c>
      <c r="K38" s="69">
        <f>K39+K40</f>
        <v>286788</v>
      </c>
      <c r="L38" s="64"/>
      <c r="M38" s="64"/>
      <c r="N38" s="75"/>
      <c r="O38" s="60"/>
      <c r="P38" s="60"/>
      <c r="Q38" s="60"/>
      <c r="R38" s="60"/>
      <c r="S38" s="60"/>
      <c r="T38" s="60"/>
    </row>
    <row r="39" spans="1:20" s="49" customFormat="1" ht="18" hidden="1" customHeight="1" x14ac:dyDescent="0.25">
      <c r="A39" s="61"/>
      <c r="B39" s="68" t="s">
        <v>210</v>
      </c>
      <c r="C39" s="69"/>
      <c r="D39" s="69"/>
      <c r="E39" s="69"/>
      <c r="F39" s="69"/>
      <c r="G39" s="69"/>
      <c r="H39" s="69"/>
      <c r="I39" s="69"/>
      <c r="J39" s="69">
        <v>24</v>
      </c>
      <c r="K39" s="69">
        <v>271618</v>
      </c>
      <c r="L39" s="64"/>
      <c r="M39" s="64"/>
      <c r="N39" s="75"/>
      <c r="O39" s="60"/>
      <c r="P39" s="60"/>
      <c r="Q39" s="60"/>
      <c r="R39" s="60"/>
      <c r="S39" s="60"/>
      <c r="T39" s="60"/>
    </row>
    <row r="40" spans="1:20" s="49" customFormat="1" ht="19.5" hidden="1" customHeight="1" x14ac:dyDescent="0.25">
      <c r="A40" s="61"/>
      <c r="B40" s="68" t="s">
        <v>211</v>
      </c>
      <c r="C40" s="69"/>
      <c r="D40" s="69"/>
      <c r="E40" s="69"/>
      <c r="F40" s="69"/>
      <c r="G40" s="69"/>
      <c r="H40" s="69"/>
      <c r="I40" s="69"/>
      <c r="J40" s="69">
        <v>24555</v>
      </c>
      <c r="K40" s="69">
        <v>15170</v>
      </c>
      <c r="L40" s="64"/>
      <c r="M40" s="64"/>
      <c r="N40" s="75"/>
      <c r="O40" s="60"/>
      <c r="P40" s="60"/>
      <c r="Q40" s="60"/>
      <c r="R40" s="60"/>
      <c r="S40" s="60"/>
      <c r="T40" s="60"/>
    </row>
    <row r="41" spans="1:20" s="49" customFormat="1" ht="20.25" hidden="1" customHeight="1" x14ac:dyDescent="0.25">
      <c r="A41" s="61">
        <v>2</v>
      </c>
      <c r="B41" s="68" t="s">
        <v>212</v>
      </c>
      <c r="C41" s="69"/>
      <c r="D41" s="69"/>
      <c r="E41" s="69"/>
      <c r="F41" s="69"/>
      <c r="G41" s="69"/>
      <c r="H41" s="69"/>
      <c r="I41" s="69">
        <v>5963</v>
      </c>
      <c r="J41" s="69"/>
      <c r="K41" s="69"/>
      <c r="L41" s="64"/>
      <c r="M41" s="64"/>
      <c r="N41" s="75"/>
      <c r="O41" s="60"/>
      <c r="P41" s="60"/>
      <c r="Q41" s="60"/>
      <c r="R41" s="60"/>
      <c r="S41" s="60"/>
      <c r="T41" s="60"/>
    </row>
    <row r="42" spans="1:20" s="49" customFormat="1" ht="21" hidden="1" customHeight="1" x14ac:dyDescent="0.25">
      <c r="A42" s="61">
        <v>3</v>
      </c>
      <c r="B42" s="68" t="s">
        <v>196</v>
      </c>
      <c r="C42" s="69"/>
      <c r="D42" s="69"/>
      <c r="E42" s="69"/>
      <c r="F42" s="69"/>
      <c r="G42" s="69"/>
      <c r="H42" s="69"/>
      <c r="I42" s="69">
        <v>42061</v>
      </c>
      <c r="J42" s="69">
        <v>51090</v>
      </c>
      <c r="K42" s="69"/>
      <c r="L42" s="64"/>
      <c r="M42" s="64"/>
      <c r="N42" s="75"/>
      <c r="O42" s="60"/>
      <c r="P42" s="60"/>
      <c r="Q42" s="60"/>
      <c r="R42" s="60"/>
      <c r="S42" s="60"/>
      <c r="T42" s="60"/>
    </row>
    <row r="43" spans="1:20" s="49" customFormat="1" ht="36" hidden="1" customHeight="1" x14ac:dyDescent="0.25">
      <c r="A43" s="61">
        <v>4</v>
      </c>
      <c r="B43" s="68" t="s">
        <v>213</v>
      </c>
      <c r="C43" s="69"/>
      <c r="D43" s="69"/>
      <c r="E43" s="69"/>
      <c r="F43" s="69"/>
      <c r="G43" s="69"/>
      <c r="H43" s="69"/>
      <c r="I43" s="69"/>
      <c r="J43" s="69"/>
      <c r="K43" s="69">
        <v>12038</v>
      </c>
      <c r="L43" s="64"/>
      <c r="M43" s="64"/>
      <c r="N43" s="75"/>
      <c r="O43" s="60"/>
      <c r="P43" s="60"/>
      <c r="Q43" s="60"/>
      <c r="R43" s="60"/>
      <c r="S43" s="60"/>
      <c r="T43" s="60"/>
    </row>
    <row r="44" spans="1:20" s="49" customFormat="1" ht="19.5" hidden="1" customHeight="1" x14ac:dyDescent="0.25">
      <c r="A44" s="61">
        <v>5</v>
      </c>
      <c r="B44" s="68" t="s">
        <v>197</v>
      </c>
      <c r="C44" s="69"/>
      <c r="D44" s="69"/>
      <c r="E44" s="69"/>
      <c r="F44" s="69"/>
      <c r="G44" s="69"/>
      <c r="H44" s="69"/>
      <c r="I44" s="69">
        <v>87</v>
      </c>
      <c r="J44" s="69">
        <v>1894</v>
      </c>
      <c r="K44" s="69">
        <v>10661</v>
      </c>
      <c r="L44" s="64"/>
      <c r="M44" s="64"/>
      <c r="N44" s="75"/>
      <c r="O44" s="60"/>
      <c r="P44" s="60"/>
      <c r="Q44" s="60"/>
      <c r="R44" s="60"/>
      <c r="S44" s="60"/>
      <c r="T44" s="60"/>
    </row>
    <row r="45" spans="1:20" s="49" customFormat="1" ht="19.5" hidden="1" customHeight="1" x14ac:dyDescent="0.25">
      <c r="A45" s="61">
        <v>6</v>
      </c>
      <c r="B45" s="68" t="s">
        <v>214</v>
      </c>
      <c r="C45" s="69"/>
      <c r="D45" s="69"/>
      <c r="E45" s="69"/>
      <c r="F45" s="69"/>
      <c r="G45" s="69"/>
      <c r="H45" s="69"/>
      <c r="I45" s="69">
        <v>2903</v>
      </c>
      <c r="J45" s="69"/>
      <c r="K45" s="69"/>
      <c r="L45" s="64"/>
      <c r="M45" s="64"/>
      <c r="N45" s="75"/>
      <c r="O45" s="60"/>
      <c r="P45" s="60"/>
      <c r="Q45" s="60"/>
      <c r="R45" s="60"/>
      <c r="S45" s="60"/>
      <c r="T45" s="60"/>
    </row>
    <row r="46" spans="1:20" s="49" customFormat="1" ht="21" customHeight="1" x14ac:dyDescent="0.25">
      <c r="A46" s="62" t="s">
        <v>28</v>
      </c>
      <c r="B46" s="67" t="s">
        <v>148</v>
      </c>
      <c r="C46" s="63"/>
      <c r="D46" s="63"/>
      <c r="E46" s="63"/>
      <c r="F46" s="63"/>
      <c r="G46" s="63"/>
      <c r="H46" s="63">
        <f>I46+J46+K46</f>
        <v>8747</v>
      </c>
      <c r="I46" s="63"/>
      <c r="J46" s="63"/>
      <c r="K46" s="63">
        <v>8747</v>
      </c>
      <c r="L46" s="64"/>
      <c r="M46" s="64"/>
      <c r="N46" s="75"/>
      <c r="O46" s="60"/>
      <c r="P46" s="60"/>
      <c r="Q46" s="60"/>
      <c r="R46" s="60"/>
      <c r="S46" s="60"/>
      <c r="T46" s="60"/>
    </row>
    <row r="47" spans="1:20" s="49" customFormat="1" ht="37.5" customHeight="1" x14ac:dyDescent="0.25">
      <c r="A47" s="62" t="s">
        <v>31</v>
      </c>
      <c r="B47" s="67" t="s">
        <v>149</v>
      </c>
      <c r="C47" s="63"/>
      <c r="D47" s="63"/>
      <c r="E47" s="63"/>
      <c r="F47" s="63"/>
      <c r="G47" s="63"/>
      <c r="H47" s="63">
        <f>I47+J47+K47</f>
        <v>7660762</v>
      </c>
      <c r="I47" s="63">
        <f>I48+I49</f>
        <v>5402972</v>
      </c>
      <c r="J47" s="63">
        <f>J48+J49</f>
        <v>2257790</v>
      </c>
      <c r="K47" s="63">
        <v>0</v>
      </c>
      <c r="L47" s="64"/>
      <c r="M47" s="64"/>
      <c r="N47" s="75"/>
      <c r="O47" s="60"/>
      <c r="P47" s="60"/>
      <c r="Q47" s="60"/>
      <c r="R47" s="60"/>
      <c r="S47" s="60"/>
      <c r="T47" s="60"/>
    </row>
    <row r="48" spans="1:20" s="49" customFormat="1" ht="20.100000000000001" customHeight="1" x14ac:dyDescent="0.25">
      <c r="A48" s="61"/>
      <c r="B48" s="68" t="s">
        <v>150</v>
      </c>
      <c r="C48" s="69"/>
      <c r="D48" s="69"/>
      <c r="E48" s="69"/>
      <c r="F48" s="69"/>
      <c r="G48" s="69"/>
      <c r="H48" s="69">
        <f>I48+J48+K48</f>
        <v>4946362</v>
      </c>
      <c r="I48" s="69">
        <v>4024762</v>
      </c>
      <c r="J48" s="69">
        <v>921600</v>
      </c>
      <c r="K48" s="69"/>
      <c r="L48" s="64"/>
      <c r="M48" s="64"/>
      <c r="N48" s="75"/>
      <c r="O48" s="60"/>
      <c r="P48" s="60"/>
      <c r="Q48" s="60"/>
      <c r="R48" s="60"/>
      <c r="S48" s="60"/>
      <c r="T48" s="60"/>
    </row>
    <row r="49" spans="1:20" s="49" customFormat="1" ht="20.100000000000001" customHeight="1" x14ac:dyDescent="0.25">
      <c r="A49" s="61"/>
      <c r="B49" s="68" t="s">
        <v>151</v>
      </c>
      <c r="C49" s="69"/>
      <c r="D49" s="69"/>
      <c r="E49" s="69"/>
      <c r="F49" s="69"/>
      <c r="G49" s="69"/>
      <c r="H49" s="69">
        <f>I49+J49+K49</f>
        <v>2714400</v>
      </c>
      <c r="I49" s="69">
        <v>1378210</v>
      </c>
      <c r="J49" s="69">
        <v>1336190</v>
      </c>
      <c r="K49" s="69"/>
      <c r="L49" s="64"/>
      <c r="M49" s="64"/>
      <c r="N49" s="75"/>
      <c r="O49" s="60"/>
      <c r="P49" s="60"/>
      <c r="Q49" s="60"/>
      <c r="R49" s="60"/>
      <c r="S49" s="60"/>
      <c r="T49" s="60"/>
    </row>
    <row r="50" spans="1:20" s="49" customFormat="1" ht="20.25" customHeight="1" x14ac:dyDescent="0.25">
      <c r="A50" s="62"/>
      <c r="B50" s="62" t="s">
        <v>152</v>
      </c>
      <c r="C50" s="63">
        <f t="shared" ref="C50:K50" si="14">C10+C37+C46+C47</f>
        <v>11165852</v>
      </c>
      <c r="D50" s="63">
        <f t="shared" si="14"/>
        <v>13414767</v>
      </c>
      <c r="E50" s="63">
        <f t="shared" si="14"/>
        <v>7754477</v>
      </c>
      <c r="F50" s="63">
        <f t="shared" si="14"/>
        <v>4156544</v>
      </c>
      <c r="G50" s="63">
        <f t="shared" si="14"/>
        <v>1503746</v>
      </c>
      <c r="H50" s="63">
        <f t="shared" si="14"/>
        <v>24307736</v>
      </c>
      <c r="I50" s="63">
        <f t="shared" si="14"/>
        <v>14343623</v>
      </c>
      <c r="J50" s="63">
        <f t="shared" si="14"/>
        <v>6735692</v>
      </c>
      <c r="K50" s="63">
        <f t="shared" si="14"/>
        <v>3228421</v>
      </c>
      <c r="L50" s="64">
        <f t="shared" si="2"/>
        <v>2.1769710005112013</v>
      </c>
      <c r="M50" s="64">
        <f t="shared" si="3"/>
        <v>1.8120132835702625</v>
      </c>
      <c r="N50" s="75"/>
      <c r="O50" s="60"/>
      <c r="P50" s="60"/>
      <c r="Q50" s="60"/>
      <c r="R50" s="60"/>
      <c r="S50" s="60"/>
      <c r="T50" s="60"/>
    </row>
    <row r="51" spans="1:20" ht="25.5" customHeight="1" x14ac:dyDescent="0.3">
      <c r="A51" s="74"/>
      <c r="B51" s="74"/>
      <c r="C51" s="75"/>
      <c r="D51" s="75"/>
      <c r="E51" s="75"/>
      <c r="F51" s="75"/>
      <c r="G51" s="75"/>
      <c r="H51" s="75"/>
      <c r="I51" s="107" t="s">
        <v>219</v>
      </c>
      <c r="J51" s="107"/>
      <c r="K51" s="107"/>
      <c r="L51" s="107"/>
      <c r="M51" s="107"/>
      <c r="N51" s="88"/>
    </row>
    <row r="52" spans="1:20" x14ac:dyDescent="0.25">
      <c r="H52" s="52"/>
    </row>
    <row r="53" spans="1:20" hidden="1" x14ac:dyDescent="0.25">
      <c r="H53" s="52">
        <v>245563</v>
      </c>
      <c r="I53" s="52">
        <f>SUM(H53:H59)</f>
        <v>1326815</v>
      </c>
      <c r="J53" s="52"/>
      <c r="K53" s="52"/>
    </row>
    <row r="54" spans="1:20" hidden="1" x14ac:dyDescent="0.25">
      <c r="H54" s="52">
        <v>63514</v>
      </c>
      <c r="I54" s="52">
        <f>I34-I53</f>
        <v>1808662</v>
      </c>
    </row>
    <row r="55" spans="1:20" hidden="1" x14ac:dyDescent="0.25">
      <c r="H55" s="52">
        <v>321457</v>
      </c>
      <c r="I55" s="51">
        <v>1313715</v>
      </c>
    </row>
    <row r="56" spans="1:20" hidden="1" x14ac:dyDescent="0.25">
      <c r="H56" s="52">
        <v>325167</v>
      </c>
      <c r="I56" s="52">
        <f>I54-I55</f>
        <v>494947</v>
      </c>
    </row>
    <row r="57" spans="1:20" hidden="1" x14ac:dyDescent="0.25">
      <c r="H57" s="52">
        <v>120000</v>
      </c>
    </row>
    <row r="58" spans="1:20" hidden="1" x14ac:dyDescent="0.25">
      <c r="H58" s="52">
        <v>156578</v>
      </c>
    </row>
    <row r="59" spans="1:20" hidden="1" x14ac:dyDescent="0.25">
      <c r="H59" s="52">
        <v>94536</v>
      </c>
    </row>
    <row r="60" spans="1:20" x14ac:dyDescent="0.25">
      <c r="H60" s="52"/>
      <c r="I60" s="52"/>
      <c r="J60" s="52"/>
      <c r="K60" s="52"/>
    </row>
    <row r="61" spans="1:20" x14ac:dyDescent="0.25">
      <c r="H61" s="52"/>
    </row>
  </sheetData>
  <mergeCells count="21">
    <mergeCell ref="K1:M1"/>
    <mergeCell ref="A2:M2"/>
    <mergeCell ref="A3:M3"/>
    <mergeCell ref="K4:M4"/>
    <mergeCell ref="A5:A7"/>
    <mergeCell ref="B5:B7"/>
    <mergeCell ref="C5:C7"/>
    <mergeCell ref="D5:G5"/>
    <mergeCell ref="H5:K5"/>
    <mergeCell ref="L5:M5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I51:M51"/>
    <mergeCell ref="I6:I7"/>
  </mergeCells>
  <printOptions horizontalCentered="1"/>
  <pageMargins left="0.2" right="0.2" top="0.8" bottom="0.8" header="0.3" footer="0.2"/>
  <pageSetup paperSize="9" scale="83" orientation="landscape" r:id="rId1"/>
  <headerFooter>
    <oddFooter>&amp;C&amp;P (Biểu số 03/QTNS)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Can doi</vt:lpstr>
      <vt:lpstr>Thu ngan sach</vt:lpstr>
      <vt:lpstr>Chi ngân sách</vt:lpstr>
      <vt:lpstr>'Can doi'!Print_Area</vt:lpstr>
      <vt:lpstr>'Chi ngân sách'!Print_Area</vt:lpstr>
      <vt:lpstr>'Thu ngan sach'!Print_Area</vt:lpstr>
      <vt:lpstr>'Chi ngân sách'!Print_Titles</vt:lpstr>
      <vt:lpstr>'Thu ngan sach'!Print_Titles</vt:lpstr>
    </vt:vector>
  </TitlesOfParts>
  <Company>http://www.itfriend.org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H2C</cp:lastModifiedBy>
  <cp:lastPrinted>2017-12-08T06:49:40Z</cp:lastPrinted>
  <dcterms:created xsi:type="dcterms:W3CDTF">2014-11-19T01:14:00Z</dcterms:created>
  <dcterms:modified xsi:type="dcterms:W3CDTF">2017-12-08T06:57:16Z</dcterms:modified>
</cp:coreProperties>
</file>