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2019\Đề án cập nhật, chỉnh lý biến động\"/>
    </mc:Choice>
  </mc:AlternateContent>
  <bookViews>
    <workbookView xWindow="0" yWindow="0" windowWidth="20490" windowHeight="7650" activeTab="11"/>
  </bookViews>
  <sheets>
    <sheet name="PL01" sheetId="5" r:id="rId1"/>
    <sheet name="PL02" sheetId="6" r:id="rId2"/>
    <sheet name="PL03" sheetId="7" r:id="rId3"/>
    <sheet name="PL04" sheetId="8" r:id="rId4"/>
    <sheet name="PL05" sheetId="10" r:id="rId5"/>
    <sheet name="PL06" sheetId="15" r:id="rId6"/>
    <sheet name="PL07" sheetId="9" r:id="rId7"/>
    <sheet name="PL08" sheetId="13" r:id="rId8"/>
    <sheet name="PL09" sheetId="11" r:id="rId9"/>
    <sheet name="PL10" sheetId="12" r:id="rId10"/>
    <sheet name="PL11" sheetId="14" r:id="rId11"/>
    <sheet name="PL12" sheetId="16" r:id="rId12"/>
  </sheets>
  <externalReferences>
    <externalReference r:id="rId13"/>
    <externalReference r:id="rId14"/>
  </externalReferences>
  <definedNames>
    <definedName name="_xlnm.Print_Area" localSheetId="9">'PL10'!$A$1:$J$49</definedName>
    <definedName name="_xlnm.Print_Titles" localSheetId="0">'PL01'!$3:$5</definedName>
    <definedName name="_xlnm.Print_Titles" localSheetId="3">'PL04'!$3:$4</definedName>
    <definedName name="_xlnm.Print_Titles" localSheetId="5">'PL06'!$3:$3</definedName>
    <definedName name="_xlnm.Print_Titles" localSheetId="8">'PL09'!$3:$5</definedName>
    <definedName name="_xlnm.Print_Titles" localSheetId="9">'PL10'!$4:$6</definedName>
  </definedNames>
  <calcPr calcId="152511"/>
</workbook>
</file>

<file path=xl/calcChain.xml><?xml version="1.0" encoding="utf-8"?>
<calcChain xmlns="http://schemas.openxmlformats.org/spreadsheetml/2006/main">
  <c r="I36" i="12" l="1"/>
  <c r="I35" i="12"/>
  <c r="F36" i="12"/>
  <c r="F35" i="12"/>
  <c r="G12" i="12" l="1"/>
  <c r="G11" i="12"/>
  <c r="D12" i="12"/>
  <c r="G9" i="12"/>
  <c r="G8" i="12"/>
  <c r="D9" i="12"/>
  <c r="P26" i="11"/>
  <c r="J23" i="14"/>
  <c r="D7" i="16"/>
  <c r="G6" i="16"/>
  <c r="H6" i="16" s="1"/>
  <c r="G42" i="12"/>
  <c r="G41" i="12"/>
  <c r="D42" i="12"/>
  <c r="D41" i="12"/>
  <c r="G39" i="12"/>
  <c r="G38" i="12"/>
  <c r="D39" i="12"/>
  <c r="D38" i="12"/>
  <c r="G36" i="12"/>
  <c r="G35" i="12"/>
  <c r="D36" i="12"/>
  <c r="D35" i="12"/>
  <c r="G33" i="12"/>
  <c r="G32" i="12"/>
  <c r="D33" i="12"/>
  <c r="D32" i="12"/>
  <c r="G30" i="12"/>
  <c r="G29" i="12"/>
  <c r="D30" i="12"/>
  <c r="D29" i="12"/>
  <c r="G27" i="12"/>
  <c r="G26" i="12"/>
  <c r="D27" i="12"/>
  <c r="D26" i="12"/>
  <c r="G24" i="12"/>
  <c r="G23" i="12"/>
  <c r="D24" i="12"/>
  <c r="D23" i="12"/>
  <c r="G21" i="12"/>
  <c r="G20" i="12"/>
  <c r="D21" i="12"/>
  <c r="D20" i="12"/>
  <c r="G18" i="12"/>
  <c r="G17" i="12"/>
  <c r="D18" i="12"/>
  <c r="D17" i="12"/>
  <c r="G45" i="12"/>
  <c r="G44" i="12"/>
  <c r="D45" i="12"/>
  <c r="D44" i="12"/>
  <c r="G15" i="12"/>
  <c r="G14" i="12"/>
  <c r="D15" i="12"/>
  <c r="D14" i="12"/>
  <c r="F21" i="10"/>
  <c r="F16" i="10"/>
  <c r="F15" i="10"/>
  <c r="K15" i="13"/>
  <c r="F15" i="13"/>
  <c r="L15" i="13" s="1"/>
  <c r="K14" i="13"/>
  <c r="F14" i="13"/>
  <c r="L14" i="13" s="1"/>
  <c r="K20" i="13"/>
  <c r="F20" i="13"/>
  <c r="L20" i="13" s="1"/>
  <c r="H15" i="12"/>
  <c r="I15" i="12" s="1"/>
  <c r="E15" i="12"/>
  <c r="F15" i="12" s="1"/>
  <c r="J15" i="12" s="1"/>
  <c r="H14" i="12"/>
  <c r="E14" i="12"/>
  <c r="H17" i="14"/>
  <c r="H18" i="14" s="1"/>
  <c r="I18" i="14" s="1"/>
  <c r="F14" i="12" l="1"/>
  <c r="I14" i="12"/>
  <c r="G7" i="16"/>
  <c r="H8" i="14"/>
  <c r="E8" i="14"/>
  <c r="K10" i="13"/>
  <c r="D8" i="14" s="1"/>
  <c r="K11" i="13"/>
  <c r="K12" i="13"/>
  <c r="K13" i="13"/>
  <c r="K16" i="13"/>
  <c r="K17" i="13"/>
  <c r="K18" i="13"/>
  <c r="K19" i="13"/>
  <c r="D17" i="14" s="1"/>
  <c r="K21" i="13"/>
  <c r="K9" i="13"/>
  <c r="D7" i="14" s="1"/>
  <c r="F10" i="13"/>
  <c r="L10" i="13" s="1"/>
  <c r="G8" i="14" s="1"/>
  <c r="F11" i="13"/>
  <c r="L11" i="13" s="1"/>
  <c r="F12" i="13"/>
  <c r="L12" i="13" s="1"/>
  <c r="F13" i="13"/>
  <c r="L13" i="13" s="1"/>
  <c r="F16" i="13"/>
  <c r="L16" i="13" s="1"/>
  <c r="F17" i="13"/>
  <c r="L17" i="13" s="1"/>
  <c r="F18" i="13"/>
  <c r="L18" i="13" s="1"/>
  <c r="F19" i="13"/>
  <c r="L19" i="13" s="1"/>
  <c r="G17" i="14" s="1"/>
  <c r="F21" i="13"/>
  <c r="L21" i="13" s="1"/>
  <c r="F9" i="13"/>
  <c r="L9" i="13" s="1"/>
  <c r="G7" i="14" s="1"/>
  <c r="J14" i="12" l="1"/>
  <c r="J13" i="12" s="1"/>
  <c r="G8" i="16"/>
  <c r="H7" i="16"/>
  <c r="H9" i="14"/>
  <c r="E9" i="14"/>
  <c r="F7" i="14"/>
  <c r="I7" i="14"/>
  <c r="I8" i="14"/>
  <c r="I17" i="14"/>
  <c r="F8" i="14"/>
  <c r="G9" i="16" l="1"/>
  <c r="H9" i="16" s="1"/>
  <c r="C9" i="16" s="1"/>
  <c r="H8" i="16"/>
  <c r="C7" i="16"/>
  <c r="H5" i="16"/>
  <c r="G5" i="16"/>
  <c r="I20" i="14"/>
  <c r="I9" i="14"/>
  <c r="H10" i="14"/>
  <c r="F9" i="14"/>
  <c r="J9" i="14" s="1"/>
  <c r="E10" i="14"/>
  <c r="J8" i="14"/>
  <c r="J7" i="14"/>
  <c r="F10" i="14" l="1"/>
  <c r="E11" i="14"/>
  <c r="I10" i="14"/>
  <c r="H11" i="14"/>
  <c r="I11" i="14" l="1"/>
  <c r="H12" i="14"/>
  <c r="F11" i="14"/>
  <c r="J11" i="14" s="1"/>
  <c r="E12" i="14"/>
  <c r="J10" i="14"/>
  <c r="F12" i="14" l="1"/>
  <c r="E13" i="14"/>
  <c r="I12" i="14"/>
  <c r="H13" i="14"/>
  <c r="L22" i="13"/>
  <c r="K22" i="13"/>
  <c r="J22" i="13"/>
  <c r="I22" i="13"/>
  <c r="H22" i="13"/>
  <c r="G22" i="13"/>
  <c r="E22" i="13"/>
  <c r="D22" i="13"/>
  <c r="C22" i="13"/>
  <c r="I13" i="14" l="1"/>
  <c r="H14" i="14"/>
  <c r="H15" i="14" s="1"/>
  <c r="I15" i="14" s="1"/>
  <c r="F13" i="14"/>
  <c r="E14" i="14"/>
  <c r="E15" i="14" s="1"/>
  <c r="F15" i="14" s="1"/>
  <c r="J15" i="14" s="1"/>
  <c r="J13" i="14"/>
  <c r="J12" i="14"/>
  <c r="F22" i="13"/>
  <c r="E16" i="14" l="1"/>
  <c r="E17" i="14" s="1"/>
  <c r="F14" i="14"/>
  <c r="H16" i="14"/>
  <c r="I14" i="14"/>
  <c r="G10" i="6"/>
  <c r="E18" i="14" l="1"/>
  <c r="F18" i="14" s="1"/>
  <c r="J18" i="14" s="1"/>
  <c r="F17" i="14"/>
  <c r="J17" i="14" s="1"/>
  <c r="J14" i="14"/>
  <c r="H19" i="14"/>
  <c r="I16" i="14"/>
  <c r="E19" i="14"/>
  <c r="F16" i="14"/>
  <c r="H10" i="6"/>
  <c r="F19" i="14" l="1"/>
  <c r="F20" i="14" s="1"/>
  <c r="J16" i="14"/>
  <c r="I19" i="14"/>
  <c r="D14" i="7"/>
  <c r="E14" i="7"/>
  <c r="F14" i="7"/>
  <c r="G14" i="7"/>
  <c r="H14" i="7"/>
  <c r="C14" i="7"/>
  <c r="I21" i="14" l="1"/>
  <c r="I22" i="14" s="1"/>
  <c r="I23" i="14" s="1"/>
  <c r="J19" i="14"/>
  <c r="J20" i="14" s="1"/>
  <c r="F21" i="14"/>
  <c r="F22" i="14" s="1"/>
  <c r="F23" i="14" s="1"/>
  <c r="D23" i="10"/>
  <c r="E23" i="10"/>
  <c r="G23" i="10"/>
  <c r="H23" i="10"/>
  <c r="I23" i="10"/>
  <c r="J23" i="10"/>
  <c r="K23" i="10"/>
  <c r="L23" i="10"/>
  <c r="M23" i="10"/>
  <c r="N23" i="10"/>
  <c r="O23" i="10"/>
  <c r="P23" i="10"/>
  <c r="D11" i="12"/>
  <c r="D8" i="12"/>
  <c r="A4" i="12"/>
  <c r="B4" i="12"/>
  <c r="D4" i="12"/>
  <c r="D5" i="12"/>
  <c r="G5" i="12"/>
  <c r="A7" i="12"/>
  <c r="B7" i="12"/>
  <c r="E8" i="12"/>
  <c r="H8" i="12"/>
  <c r="E9" i="12"/>
  <c r="H9" i="12"/>
  <c r="A10" i="12"/>
  <c r="B10" i="12"/>
  <c r="E11" i="12"/>
  <c r="H11" i="12"/>
  <c r="E12" i="12"/>
  <c r="H12" i="12"/>
  <c r="E17" i="12"/>
  <c r="H17" i="12"/>
  <c r="E18" i="12"/>
  <c r="H18" i="12"/>
  <c r="E20" i="12"/>
  <c r="H20" i="12"/>
  <c r="E21" i="12"/>
  <c r="H21" i="12"/>
  <c r="E23" i="12"/>
  <c r="H23" i="12"/>
  <c r="E24" i="12"/>
  <c r="H24" i="12"/>
  <c r="E26" i="12"/>
  <c r="H26" i="12"/>
  <c r="E27" i="12"/>
  <c r="H27" i="12"/>
  <c r="E29" i="12"/>
  <c r="H29" i="12"/>
  <c r="E30" i="12"/>
  <c r="H30" i="12"/>
  <c r="E32" i="12"/>
  <c r="H32" i="12"/>
  <c r="E33" i="12"/>
  <c r="H33" i="12"/>
  <c r="E35" i="12"/>
  <c r="H35" i="12"/>
  <c r="E36" i="12"/>
  <c r="H36" i="12"/>
  <c r="E38" i="12"/>
  <c r="H38" i="12"/>
  <c r="E39" i="12"/>
  <c r="H39" i="12"/>
  <c r="E41" i="12"/>
  <c r="H41" i="12"/>
  <c r="E42" i="12"/>
  <c r="H42" i="12"/>
  <c r="A43" i="12"/>
  <c r="E44" i="12"/>
  <c r="H44" i="12"/>
  <c r="E45" i="12"/>
  <c r="H45" i="12"/>
  <c r="A46" i="12"/>
  <c r="A48" i="12"/>
  <c r="A49" i="12"/>
  <c r="J21" i="14" l="1"/>
  <c r="J22" i="14"/>
  <c r="F26" i="12"/>
  <c r="F20" i="12"/>
  <c r="F11" i="12"/>
  <c r="I45" i="12"/>
  <c r="F45" i="12"/>
  <c r="I44" i="12"/>
  <c r="I42" i="12"/>
  <c r="F42" i="12"/>
  <c r="I41" i="12"/>
  <c r="I39" i="12"/>
  <c r="I33" i="12"/>
  <c r="I30" i="12"/>
  <c r="F30" i="12"/>
  <c r="I29" i="12"/>
  <c r="I27" i="12"/>
  <c r="I24" i="12"/>
  <c r="F24" i="12"/>
  <c r="I23" i="12"/>
  <c r="I21" i="12"/>
  <c r="I18" i="12"/>
  <c r="F18" i="12"/>
  <c r="I17" i="12"/>
  <c r="I12" i="12"/>
  <c r="I9" i="12"/>
  <c r="F9" i="12"/>
  <c r="I8" i="12"/>
  <c r="F44" i="12"/>
  <c r="F23" i="12"/>
  <c r="F17" i="12"/>
  <c r="J17" i="12" s="1"/>
  <c r="F8" i="12"/>
  <c r="I38" i="12"/>
  <c r="I32" i="12"/>
  <c r="I26" i="12"/>
  <c r="J26" i="12" s="1"/>
  <c r="I20" i="12"/>
  <c r="I11" i="12"/>
  <c r="F32" i="12"/>
  <c r="F38" i="12"/>
  <c r="F39" i="12"/>
  <c r="F33" i="12"/>
  <c r="F27" i="12"/>
  <c r="F21" i="12"/>
  <c r="F12" i="12"/>
  <c r="J12" i="12" s="1"/>
  <c r="F29" i="12"/>
  <c r="J29" i="12" s="1"/>
  <c r="F41" i="12"/>
  <c r="J39" i="12" l="1"/>
  <c r="J35" i="12"/>
  <c r="J20" i="12"/>
  <c r="J18" i="12"/>
  <c r="J16" i="12" s="1"/>
  <c r="J27" i="12"/>
  <c r="J25" i="12" s="1"/>
  <c r="J11" i="12"/>
  <c r="J10" i="12" s="1"/>
  <c r="J36" i="12"/>
  <c r="J9" i="12"/>
  <c r="J42" i="12"/>
  <c r="J41" i="12"/>
  <c r="J32" i="12"/>
  <c r="J8" i="12"/>
  <c r="J23" i="12"/>
  <c r="J44" i="12"/>
  <c r="J24" i="12"/>
  <c r="J30" i="12"/>
  <c r="J28" i="12" s="1"/>
  <c r="J45" i="12"/>
  <c r="J21" i="12"/>
  <c r="J33" i="12"/>
  <c r="J31" i="12" s="1"/>
  <c r="J38" i="12"/>
  <c r="J37" i="12" s="1"/>
  <c r="J34" i="12" l="1"/>
  <c r="J19" i="12"/>
  <c r="J40" i="12"/>
  <c r="J22" i="12"/>
  <c r="J43" i="12"/>
  <c r="J7" i="12"/>
  <c r="D58" i="11"/>
  <c r="D53" i="11"/>
  <c r="D50" i="11"/>
  <c r="D47" i="11"/>
  <c r="D44" i="11"/>
  <c r="D41" i="11"/>
  <c r="D38" i="11"/>
  <c r="D35" i="11"/>
  <c r="D32" i="11"/>
  <c r="N64" i="11"/>
  <c r="L64" i="11"/>
  <c r="I64" i="11"/>
  <c r="G64" i="11"/>
  <c r="C64" i="11"/>
  <c r="N63" i="11"/>
  <c r="L63" i="11"/>
  <c r="I63" i="11"/>
  <c r="M63" i="11" s="1"/>
  <c r="G63" i="11"/>
  <c r="K63" i="11" s="1"/>
  <c r="N62" i="11"/>
  <c r="M62" i="11"/>
  <c r="L62" i="11"/>
  <c r="K62" i="11"/>
  <c r="N61" i="11"/>
  <c r="L61" i="11"/>
  <c r="I61" i="11"/>
  <c r="M61" i="11" s="1"/>
  <c r="G61" i="11"/>
  <c r="K61" i="11" s="1"/>
  <c r="N60" i="11"/>
  <c r="L60" i="11"/>
  <c r="I60" i="11"/>
  <c r="M60" i="11" s="1"/>
  <c r="G60" i="11"/>
  <c r="K60" i="11" s="1"/>
  <c r="N59" i="11"/>
  <c r="L59" i="11"/>
  <c r="C59" i="11"/>
  <c r="G58" i="11"/>
  <c r="K58" i="11" s="1"/>
  <c r="N57" i="11"/>
  <c r="L57" i="11"/>
  <c r="C57" i="11"/>
  <c r="N56" i="11"/>
  <c r="L56" i="11"/>
  <c r="C56" i="11"/>
  <c r="M56" i="11" s="1"/>
  <c r="N55" i="11"/>
  <c r="M55" i="11"/>
  <c r="L55" i="11"/>
  <c r="K55" i="11"/>
  <c r="N54" i="11"/>
  <c r="M54" i="11"/>
  <c r="L54" i="11"/>
  <c r="K54" i="11"/>
  <c r="K53" i="11"/>
  <c r="J53" i="11"/>
  <c r="J58" i="11" s="1"/>
  <c r="I53" i="11"/>
  <c r="M53" i="11" s="1"/>
  <c r="H53" i="11"/>
  <c r="H58" i="11" s="1"/>
  <c r="N52" i="11"/>
  <c r="M52" i="11"/>
  <c r="L52" i="11"/>
  <c r="K52" i="11"/>
  <c r="N51" i="11"/>
  <c r="L51" i="11"/>
  <c r="I51" i="11"/>
  <c r="M51" i="11" s="1"/>
  <c r="G51" i="11"/>
  <c r="K51" i="11" s="1"/>
  <c r="J50" i="11"/>
  <c r="I50" i="11"/>
  <c r="H50" i="11"/>
  <c r="G50" i="11"/>
  <c r="C50" i="11"/>
  <c r="N49" i="11"/>
  <c r="M49" i="11"/>
  <c r="L49" i="11"/>
  <c r="K49" i="11"/>
  <c r="N48" i="11"/>
  <c r="L48" i="11"/>
  <c r="C48" i="11"/>
  <c r="N46" i="11"/>
  <c r="M46" i="11"/>
  <c r="L46" i="11"/>
  <c r="K46" i="11"/>
  <c r="N45" i="11"/>
  <c r="L45" i="11"/>
  <c r="C45" i="11"/>
  <c r="N43" i="11"/>
  <c r="M43" i="11"/>
  <c r="L43" i="11"/>
  <c r="K43" i="11"/>
  <c r="N42" i="11"/>
  <c r="L42" i="11"/>
  <c r="C42" i="11"/>
  <c r="N40" i="11"/>
  <c r="M40" i="11"/>
  <c r="L40" i="11"/>
  <c r="K40" i="11"/>
  <c r="N39" i="11"/>
  <c r="L39" i="11"/>
  <c r="N37" i="11"/>
  <c r="L37" i="11"/>
  <c r="C37" i="11"/>
  <c r="M37" i="11" s="1"/>
  <c r="N36" i="11"/>
  <c r="L36" i="11"/>
  <c r="C36" i="11"/>
  <c r="G35" i="11"/>
  <c r="G38" i="11" s="1"/>
  <c r="K38" i="11" s="1"/>
  <c r="N34" i="11"/>
  <c r="M34" i="11"/>
  <c r="L34" i="11"/>
  <c r="K34" i="11"/>
  <c r="N33" i="11"/>
  <c r="L33" i="11"/>
  <c r="I33" i="11"/>
  <c r="I36" i="11" s="1"/>
  <c r="I39" i="11" s="1"/>
  <c r="G33" i="11"/>
  <c r="G36" i="11" s="1"/>
  <c r="G39" i="11" s="1"/>
  <c r="C33" i="11"/>
  <c r="K32" i="11"/>
  <c r="J32" i="11"/>
  <c r="J35" i="11" s="1"/>
  <c r="J38" i="11" s="1"/>
  <c r="J41" i="11" s="1"/>
  <c r="J44" i="11" s="1"/>
  <c r="J47" i="11" s="1"/>
  <c r="I32" i="11"/>
  <c r="M32" i="11" s="1"/>
  <c r="H32" i="11"/>
  <c r="H35" i="11" s="1"/>
  <c r="H38" i="11" s="1"/>
  <c r="H41" i="11" s="1"/>
  <c r="H44" i="11" s="1"/>
  <c r="H47" i="11" s="1"/>
  <c r="N31" i="11"/>
  <c r="M31" i="11"/>
  <c r="L31" i="11"/>
  <c r="K31" i="11"/>
  <c r="N30" i="11"/>
  <c r="M30" i="11"/>
  <c r="L30" i="11"/>
  <c r="K30" i="11"/>
  <c r="N29" i="11"/>
  <c r="M29" i="11"/>
  <c r="L29" i="11"/>
  <c r="K29" i="11"/>
  <c r="N28" i="11"/>
  <c r="M28" i="11"/>
  <c r="L28" i="11"/>
  <c r="C28" i="11"/>
  <c r="K28" i="11" s="1"/>
  <c r="N22" i="11"/>
  <c r="L22" i="11"/>
  <c r="N21" i="11"/>
  <c r="L21" i="11"/>
  <c r="I21" i="11"/>
  <c r="M21" i="11" s="1"/>
  <c r="G21" i="11"/>
  <c r="K21" i="11" s="1"/>
  <c r="N20" i="11"/>
  <c r="L20" i="11"/>
  <c r="C20" i="11"/>
  <c r="N19" i="11"/>
  <c r="L19" i="11"/>
  <c r="N18" i="11"/>
  <c r="L18" i="11"/>
  <c r="N17" i="11"/>
  <c r="L17" i="11"/>
  <c r="K17" i="11"/>
  <c r="C17" i="11"/>
  <c r="M17" i="11" s="1"/>
  <c r="N16" i="11"/>
  <c r="L16" i="11"/>
  <c r="I16" i="11"/>
  <c r="G16" i="11"/>
  <c r="K16" i="11" s="1"/>
  <c r="N15" i="11"/>
  <c r="L15" i="11"/>
  <c r="N14" i="11"/>
  <c r="L14" i="11"/>
  <c r="C14" i="11"/>
  <c r="N13" i="11"/>
  <c r="L13" i="11"/>
  <c r="N12" i="11"/>
  <c r="L12" i="11"/>
  <c r="C12" i="11"/>
  <c r="M12" i="11" s="1"/>
  <c r="N11" i="11"/>
  <c r="L11" i="11"/>
  <c r="I11" i="11"/>
  <c r="M11" i="11" s="1"/>
  <c r="G11" i="11"/>
  <c r="G15" i="11" s="1"/>
  <c r="K15" i="11" s="1"/>
  <c r="N10" i="11"/>
  <c r="L10" i="11"/>
  <c r="C10" i="11"/>
  <c r="N9" i="11"/>
  <c r="L9" i="11"/>
  <c r="I9" i="11"/>
  <c r="I22" i="11" s="1"/>
  <c r="M22" i="11" s="1"/>
  <c r="G9" i="11"/>
  <c r="G22" i="11" s="1"/>
  <c r="K22" i="11" s="1"/>
  <c r="N8" i="11"/>
  <c r="L8" i="11"/>
  <c r="I8" i="11"/>
  <c r="I13" i="11" s="1"/>
  <c r="M13" i="11" s="1"/>
  <c r="G8" i="11"/>
  <c r="G13" i="11" s="1"/>
  <c r="K13" i="11" s="1"/>
  <c r="J46" i="12" l="1"/>
  <c r="J47" i="12" s="1"/>
  <c r="M64" i="11"/>
  <c r="M10" i="11"/>
  <c r="C6" i="11"/>
  <c r="M50" i="11"/>
  <c r="K64" i="11"/>
  <c r="L50" i="11"/>
  <c r="N58" i="11"/>
  <c r="O51" i="11"/>
  <c r="P51" i="11" s="1"/>
  <c r="N53" i="11"/>
  <c r="M8" i="11"/>
  <c r="G18" i="11"/>
  <c r="K18" i="11" s="1"/>
  <c r="I58" i="11"/>
  <c r="M58" i="11" s="1"/>
  <c r="M9" i="11"/>
  <c r="K12" i="11"/>
  <c r="G19" i="11"/>
  <c r="K19" i="11" s="1"/>
  <c r="O21" i="11"/>
  <c r="K37" i="11"/>
  <c r="L38" i="11"/>
  <c r="G41" i="11"/>
  <c r="G44" i="11" s="1"/>
  <c r="G47" i="11" s="1"/>
  <c r="K47" i="11" s="1"/>
  <c r="N50" i="11"/>
  <c r="K56" i="11"/>
  <c r="O56" i="11" s="1"/>
  <c r="P56" i="11" s="1"/>
  <c r="O60" i="11"/>
  <c r="O13" i="11"/>
  <c r="M39" i="11"/>
  <c r="I42" i="11"/>
  <c r="I45" i="11" s="1"/>
  <c r="I48" i="11" s="1"/>
  <c r="K8" i="11"/>
  <c r="O22" i="11"/>
  <c r="P22" i="11" s="1"/>
  <c r="K9" i="11"/>
  <c r="I19" i="11"/>
  <c r="M19" i="11" s="1"/>
  <c r="M16" i="11"/>
  <c r="O16" i="11" s="1"/>
  <c r="M20" i="11"/>
  <c r="K20" i="11"/>
  <c r="O30" i="11"/>
  <c r="P30" i="11" s="1"/>
  <c r="N32" i="11"/>
  <c r="L32" i="11"/>
  <c r="I35" i="11"/>
  <c r="N38" i="11"/>
  <c r="M57" i="11"/>
  <c r="K57" i="11"/>
  <c r="K10" i="11"/>
  <c r="K11" i="11"/>
  <c r="M14" i="11"/>
  <c r="K14" i="11"/>
  <c r="I15" i="11"/>
  <c r="O29" i="11"/>
  <c r="M33" i="11"/>
  <c r="K33" i="11"/>
  <c r="K35" i="11"/>
  <c r="M59" i="11"/>
  <c r="K59" i="11"/>
  <c r="O64" i="11"/>
  <c r="P64" i="11" s="1"/>
  <c r="G42" i="11"/>
  <c r="G45" i="11" s="1"/>
  <c r="G48" i="11" s="1"/>
  <c r="K48" i="11" s="1"/>
  <c r="K39" i="11"/>
  <c r="N35" i="11"/>
  <c r="L35" i="11"/>
  <c r="M36" i="11"/>
  <c r="K36" i="11"/>
  <c r="N41" i="11"/>
  <c r="K42" i="11"/>
  <c r="N44" i="11"/>
  <c r="M45" i="11"/>
  <c r="N47" i="11"/>
  <c r="M48" i="11"/>
  <c r="L53" i="11"/>
  <c r="O55" i="11"/>
  <c r="O61" i="11"/>
  <c r="P61" i="11" s="1"/>
  <c r="O63" i="11"/>
  <c r="L41" i="11"/>
  <c r="L44" i="11"/>
  <c r="L47" i="11"/>
  <c r="K50" i="11"/>
  <c r="L58" i="11"/>
  <c r="J48" i="12" l="1"/>
  <c r="J49" i="12" s="1"/>
  <c r="F6" i="16" s="1"/>
  <c r="P55" i="11"/>
  <c r="O54" i="11"/>
  <c r="P29" i="11"/>
  <c r="P28" i="11" s="1"/>
  <c r="O28" i="11"/>
  <c r="P13" i="11"/>
  <c r="P12" i="11" s="1"/>
  <c r="O12" i="11"/>
  <c r="P63" i="11"/>
  <c r="P62" i="11" s="1"/>
  <c r="O62" i="11"/>
  <c r="P60" i="11"/>
  <c r="O59" i="11"/>
  <c r="P21" i="11"/>
  <c r="O20" i="11"/>
  <c r="K41" i="11"/>
  <c r="O19" i="11"/>
  <c r="P19" i="11" s="1"/>
  <c r="K44" i="11"/>
  <c r="M42" i="11"/>
  <c r="O32" i="11"/>
  <c r="P16" i="11"/>
  <c r="O48" i="11"/>
  <c r="P48" i="11" s="1"/>
  <c r="O42" i="11"/>
  <c r="P42" i="11" s="1"/>
  <c r="O11" i="11"/>
  <c r="O58" i="11"/>
  <c r="P54" i="11"/>
  <c r="O9" i="11"/>
  <c r="P9" i="11" s="1"/>
  <c r="O8" i="11"/>
  <c r="O50" i="11"/>
  <c r="K45" i="11"/>
  <c r="O36" i="11"/>
  <c r="P36" i="11" s="1"/>
  <c r="O39" i="11"/>
  <c r="P39" i="11" s="1"/>
  <c r="O33" i="11"/>
  <c r="P33" i="11" s="1"/>
  <c r="I18" i="11"/>
  <c r="M18" i="11" s="1"/>
  <c r="M15" i="11"/>
  <c r="P59" i="11"/>
  <c r="O53" i="11"/>
  <c r="I38" i="11"/>
  <c r="M35" i="11"/>
  <c r="P20" i="11"/>
  <c r="D6" i="16" l="1"/>
  <c r="C6" i="16" s="1"/>
  <c r="F5" i="16"/>
  <c r="O7" i="11"/>
  <c r="P11" i="11"/>
  <c r="P10" i="11" s="1"/>
  <c r="O10" i="11"/>
  <c r="P53" i="11"/>
  <c r="P52" i="11" s="1"/>
  <c r="O52" i="11"/>
  <c r="P50" i="11"/>
  <c r="P49" i="11" s="1"/>
  <c r="O49" i="11"/>
  <c r="P58" i="11"/>
  <c r="P57" i="11" s="1"/>
  <c r="O57" i="11"/>
  <c r="P32" i="11"/>
  <c r="O31" i="11"/>
  <c r="P31" i="11"/>
  <c r="O15" i="11"/>
  <c r="O35" i="11"/>
  <c r="M38" i="11"/>
  <c r="I41" i="11"/>
  <c r="O18" i="11"/>
  <c r="O45" i="11"/>
  <c r="P45" i="11" s="1"/>
  <c r="P8" i="11"/>
  <c r="P7" i="11" s="1"/>
  <c r="P18" i="11" l="1"/>
  <c r="P17" i="11" s="1"/>
  <c r="O17" i="11"/>
  <c r="P15" i="11"/>
  <c r="P14" i="11" s="1"/>
  <c r="P23" i="11" s="1"/>
  <c r="P24" i="11" s="1"/>
  <c r="O14" i="11"/>
  <c r="O23" i="11" s="1"/>
  <c r="O25" i="11" s="1"/>
  <c r="O26" i="11" s="1"/>
  <c r="P35" i="11"/>
  <c r="P34" i="11" s="1"/>
  <c r="O34" i="11"/>
  <c r="O38" i="11"/>
  <c r="I44" i="11"/>
  <c r="M41" i="11"/>
  <c r="C23" i="10"/>
  <c r="F11" i="10"/>
  <c r="F12" i="10"/>
  <c r="F13" i="10"/>
  <c r="F14" i="10"/>
  <c r="F17" i="10"/>
  <c r="F18" i="10"/>
  <c r="F19" i="10"/>
  <c r="F20" i="10"/>
  <c r="F22" i="10"/>
  <c r="F10" i="10"/>
  <c r="F23" i="10" l="1"/>
  <c r="P25" i="11"/>
  <c r="P38" i="11"/>
  <c r="P37" i="11" s="1"/>
  <c r="O37" i="11"/>
  <c r="O41" i="11"/>
  <c r="I47" i="11"/>
  <c r="M47" i="11" s="1"/>
  <c r="M44" i="11"/>
  <c r="P41" i="11" l="1"/>
  <c r="P40" i="11" s="1"/>
  <c r="O40" i="11"/>
  <c r="O44" i="11"/>
  <c r="O47" i="11"/>
  <c r="P47" i="11" l="1"/>
  <c r="P46" i="11" s="1"/>
  <c r="O46" i="11"/>
  <c r="P44" i="11"/>
  <c r="P43" i="11" s="1"/>
  <c r="P65" i="11" s="1"/>
  <c r="O43" i="11"/>
  <c r="O65" i="11" s="1"/>
  <c r="P66" i="11" l="1"/>
  <c r="O67" i="11"/>
  <c r="O68" i="11" s="1"/>
  <c r="P67" i="11" l="1"/>
  <c r="P68" i="11" s="1"/>
  <c r="P69" i="11" s="1"/>
  <c r="P70" i="11" s="1"/>
  <c r="E8" i="16" s="1"/>
  <c r="C25" i="9"/>
  <c r="C22" i="9"/>
  <c r="C13" i="9"/>
  <c r="C11" i="9"/>
  <c r="C4" i="9"/>
  <c r="D8" i="16" l="1"/>
  <c r="E5" i="16"/>
  <c r="C28" i="9"/>
  <c r="F10" i="6"/>
  <c r="E10" i="6"/>
  <c r="D10" i="6"/>
  <c r="C10" i="6"/>
  <c r="D5" i="16" l="1"/>
  <c r="C8" i="16"/>
  <c r="C5" i="16" s="1"/>
  <c r="D18" i="8"/>
  <c r="E18" i="8"/>
  <c r="F18" i="8"/>
  <c r="G18" i="8"/>
  <c r="H18" i="8"/>
  <c r="C18" i="8"/>
  <c r="D19" i="5"/>
  <c r="E19" i="5"/>
  <c r="F19" i="5"/>
  <c r="G19" i="5"/>
  <c r="H19" i="5"/>
  <c r="I19" i="5"/>
  <c r="J19" i="5"/>
  <c r="K19" i="5"/>
  <c r="L19" i="5"/>
  <c r="C19" i="5"/>
</calcChain>
</file>

<file path=xl/sharedStrings.xml><?xml version="1.0" encoding="utf-8"?>
<sst xmlns="http://schemas.openxmlformats.org/spreadsheetml/2006/main" count="536" uniqueCount="241">
  <si>
    <t>Ghi chú</t>
  </si>
  <si>
    <t>TT</t>
  </si>
  <si>
    <t>Tên đơn vị hành chính</t>
  </si>
  <si>
    <t>Tổng số xã</t>
  </si>
  <si>
    <t>Số xã</t>
  </si>
  <si>
    <t>Số tờ</t>
  </si>
  <si>
    <t>TP Hà Tĩnh</t>
  </si>
  <si>
    <t>TX Hồng Lĩnh</t>
  </si>
  <si>
    <t>Tổng</t>
  </si>
  <si>
    <t>Diện tích (ha)</t>
  </si>
  <si>
    <t>Thị xã Kỳ Anh</t>
  </si>
  <si>
    <t>Thành phố Hà Tĩnh</t>
  </si>
  <si>
    <t>Thị xã Hồng Lĩnh</t>
  </si>
  <si>
    <t>Huyện Nghi Xuân</t>
  </si>
  <si>
    <t>Huyện Đức Thọ</t>
  </si>
  <si>
    <t>Huyện Hương Sơn</t>
  </si>
  <si>
    <t>Huyện Can Lộc</t>
  </si>
  <si>
    <t>Huyện Lộc Hà</t>
  </si>
  <si>
    <t>Huyện Hương Khê</t>
  </si>
  <si>
    <t>Huyện Vũ Quang</t>
  </si>
  <si>
    <t>Huyện Thạch Hà</t>
  </si>
  <si>
    <t>Huyện Cẩm Xuyên</t>
  </si>
  <si>
    <t>Huyện Kỳ Anh</t>
  </si>
  <si>
    <t>Sổ mục kê</t>
  </si>
  <si>
    <t>Sổ đăng ký</t>
  </si>
  <si>
    <t>Số lượng</t>
  </si>
  <si>
    <t>Đơn đăng ký</t>
  </si>
  <si>
    <t>Thành phần hồ sơ địa chính hiện có lập theo Chỉ thị 299/TTg</t>
  </si>
  <si>
    <t>STT</t>
  </si>
  <si>
    <t>Diện tích được đo đạc</t>
  </si>
  <si>
    <t>Số xã, phường, thị trấn</t>
  </si>
  <si>
    <t>Số xã, phường, thị trấn được đo đạc</t>
  </si>
  <si>
    <t>Bản đồ (tờ)</t>
  </si>
  <si>
    <t>Sổ mục kê (quyển)</t>
  </si>
  <si>
    <t>Sổ địa chính (quyển)</t>
  </si>
  <si>
    <t>Hồ sơ địa chính đã lập</t>
  </si>
  <si>
    <t>Còn 02 xã Bắc Sơn, Ngọc Sơn</t>
  </si>
  <si>
    <t>Chỉ đo 02 phường Nam Hồng, Bắc Hồng</t>
  </si>
  <si>
    <t>Cộng</t>
  </si>
  <si>
    <t>Đo thị trấn</t>
  </si>
  <si>
    <t>Đo 06 xã thuộc khu vực mỏ sát Thạch Khê và 02 xã Bắc Sơn, Ngọc Sơn</t>
  </si>
  <si>
    <t>Đo 02 thị trấn và 02 xã Sơn Hà, Sơn Mỹ</t>
  </si>
  <si>
    <t>Đo thị trấn Kỳ Anh và 06 xã thuộc khu Kinh tế Vũng Áng</t>
  </si>
  <si>
    <t>Chỉ đo 06 xã thuộc Huyện Thạch Hà chuyển sang</t>
  </si>
  <si>
    <t>Đo khép kín ranh giới 02 thị trấn và đo đất nông nghiệp sau chuyển đổ 08 xã (Xuân Đan, Xuân Hồng, Cương Gián, Xuân Liên, Xuân Thành, Xuân Viên, Xuân Lam)</t>
  </si>
  <si>
    <t xml:space="preserve">Phụ lục 01. TỔNG HỢP HỒ SƠ ĐỊA CHÍNH LẬP THEO CHỈ THỊ 299/TTg </t>
  </si>
  <si>
    <t>Phụ lục 02. TỔNG HỢP HỒ SƠ ĐỊA CHÍNH DẠNG GIẤY LẬP THEO LUẬT ĐẤT ĐAI 1993</t>
  </si>
  <si>
    <t>Phụ lục 03. TỔNG HỢP HỒ SƠ ĐỊA CHÍNH DẠNG SỐ LẬP TRƯỚC NĂM 2005</t>
  </si>
  <si>
    <t>Phụ lục 04. TỔNG HỢP HỒ SƠ ĐỊA CHÍNH DẠNG SỐ LẬP TỪ NĂM 2008 ĐẾN NAY</t>
  </si>
  <si>
    <t>Phường Kỳ Phương</t>
  </si>
  <si>
    <t>Phường Kỳ Long</t>
  </si>
  <si>
    <t>Phường Kỳ Liên</t>
  </si>
  <si>
    <t>Phường Kỳ Thịnh</t>
  </si>
  <si>
    <t>Phường Kỳ Trinh</t>
  </si>
  <si>
    <t>Xã Kỳ Lợi</t>
  </si>
  <si>
    <t>Xã Kỳ Trung</t>
  </si>
  <si>
    <t>Xã Thạch Lạc</t>
  </si>
  <si>
    <t>Xã Thạch Trị</t>
  </si>
  <si>
    <t>Xã Thạch Hải</t>
  </si>
  <si>
    <t>Xã Thạch Khê</t>
  </si>
  <si>
    <t>Xã Thạch Đỉnh</t>
  </si>
  <si>
    <t>Xã Thạch Bàn</t>
  </si>
  <si>
    <t>Xã Bắc Sơn</t>
  </si>
  <si>
    <t>Xã Ngọc Sơn</t>
  </si>
  <si>
    <t>Thị trấn Cẩm Xuyên</t>
  </si>
  <si>
    <t>Thị trấn Thiên Cầm</t>
  </si>
  <si>
    <t>Xã Hương Quang</t>
  </si>
  <si>
    <t>Xã Hương Điền</t>
  </si>
  <si>
    <t>Đo lại bản đồ địa chính</t>
  </si>
  <si>
    <t>Đo lại kết hợp chỉnh lý bản đồ địa chính</t>
  </si>
  <si>
    <t>Đo mới bản đồ địa chính</t>
  </si>
  <si>
    <t>Đo bản đồ địa chính dạng số</t>
  </si>
  <si>
    <t>I</t>
  </si>
  <si>
    <t>II</t>
  </si>
  <si>
    <t>III</t>
  </si>
  <si>
    <t>IV</t>
  </si>
  <si>
    <t>VI</t>
  </si>
  <si>
    <t>Phương án đo bản đồ địa chính</t>
  </si>
  <si>
    <t xml:space="preserve">Cộng </t>
  </si>
  <si>
    <t>Diện tích cần đo đạc bản đồ địa chính (ha)</t>
  </si>
  <si>
    <t>Tên huyện, thành phố, thị xã</t>
  </si>
  <si>
    <t>Tổng số tờ bản đồ</t>
  </si>
  <si>
    <t>Tổng số thửa đất</t>
  </si>
  <si>
    <t>Tổng số thửa đất biến động</t>
  </si>
  <si>
    <t>Trong đó</t>
  </si>
  <si>
    <t>Tổng diện tích biến động (ha)</t>
  </si>
  <si>
    <t>Biến động do thực hiện quyền của người sử dụng đất</t>
  </si>
  <si>
    <t>Biến động do thu hồi đất, giao đất, cho thuê đất</t>
  </si>
  <si>
    <t>Biến động do quy hoạch đất ở</t>
  </si>
  <si>
    <t>Biến động do thực hiện nông thôn mới</t>
  </si>
  <si>
    <t>Đã có dữ liệu số</t>
  </si>
  <si>
    <t>Chưa có dữ liệu số</t>
  </si>
  <si>
    <t>Số thửa</t>
  </si>
  <si>
    <t>Cấp tỉnh</t>
  </si>
  <si>
    <t>Cấp huyện</t>
  </si>
  <si>
    <t>Tổng cộng</t>
  </si>
  <si>
    <t>(Kể từ khi hoàn thành đo đạc bản đồ địa chính đến tháng 10/2019)</t>
  </si>
  <si>
    <t xml:space="preserve"> Nguồn dữ liệu phục vụ chỉnh lý </t>
  </si>
  <si>
    <t>Số xã cần chỉnh lý</t>
  </si>
  <si>
    <t xml:space="preserve">                   </t>
  </si>
  <si>
    <t>Loại sản phẩm</t>
  </si>
  <si>
    <t>Khối lượng</t>
  </si>
  <si>
    <t>Khó khăn</t>
  </si>
  <si>
    <t>PCKV</t>
  </si>
  <si>
    <t>Đơn giá</t>
  </si>
  <si>
    <t>Thành tiền</t>
  </si>
  <si>
    <t>Kiểm tra nghiệm thu (Ng.N 4%; NN 3%)</t>
  </si>
  <si>
    <t>Tổng tiền</t>
  </si>
  <si>
    <t>Ngoại nghiệp</t>
  </si>
  <si>
    <t>Nội nghiệp</t>
  </si>
  <si>
    <t>ha</t>
  </si>
  <si>
    <t>thửa</t>
  </si>
  <si>
    <t>Bản đồ ĐC 1/1000</t>
  </si>
  <si>
    <t>Bản đồ ĐC 1/2000</t>
  </si>
  <si>
    <t>Bản đồ ĐC 1/5000</t>
  </si>
  <si>
    <t>Tổng cộng trước thuế</t>
  </si>
  <si>
    <t>Thuế GTGT 10%</t>
  </si>
  <si>
    <t>Diện tích biến động</t>
  </si>
  <si>
    <t>Đo khép kín ranh giới 01 thị trấn và đo đất nông nghiệp sau chuyển đổ 06 xã (Cẩm Nam, Cẩm Thăng, Cẩm Yên, Cẩm Bình, Cẩm Huy)</t>
  </si>
  <si>
    <t>Còn 3 xã, thị trấn (Xuân Viên, Xuân Liên, Xuân An) chưa giao nộp sp giai đoạn 2</t>
  </si>
  <si>
    <t>Còn 3/23 xã (Sơn Lộc, Thanh Lộc, Thuần Thiện) chưa giao nộp sp giai đoạn 2</t>
  </si>
  <si>
    <t>Còn 2/6 phường, xã (Bắc Hồng, Đức Thuận) chưa giao nộp sp giai đoạn 2</t>
  </si>
  <si>
    <t>Còn 13/28 xã, thị trấn (Đức An, Đức Dũng, Đức la, Đức Lạc, Đức Lâm, Đức Thanh, Đức Thịnh, Đức Thủy, Thái Yên, Trung Lễ, Trường Sơn, Tùng Ảnh, Yên Hồ) chưa giao nộp sp giai đoạn 2</t>
  </si>
  <si>
    <t>Còn 16/32 xã, thị trấn (Sơn Giang, Sơn Trà, Sơn Hà, Sơn Bằng, Sơn Lâm, Sơn Ninh, Sơn Kim 1, Sơn Kim 2, Sơn Tây, Sơn Bình, Sơn Mỹ, Sơn Quang, Sơn Hàm, Sơn Trung và 2 Thị trấn) chưa giao nộp sp giai đoạn 2</t>
  </si>
  <si>
    <t>Còn 10/13 xã (An Lộc, Bình Lộc, Hộ Độ, Hồng Lộc, Ích Hậu, Mai Phụ, Phù Lưu, Tân Lộc, Thạch Mỹ, Thịnh Lộc) chưa giao nộp sp giai đoạn 2</t>
  </si>
  <si>
    <t>Còn 5/22 xã, thị trấn (Hương Giang, Hương Lâm, Hương Liên, Phương Điền và Thị trấn) chưa giao nộp sp giai đoạn 2</t>
  </si>
  <si>
    <t>Còn 3/10 xã, thị trấn (Hương Thọ, Sơn Thọ và Thị trấn) chưa giao nộp sp giai đoạn 2</t>
  </si>
  <si>
    <t>Còn 9/23 xã, thị trấn (Thạch Đài, Thạch Điền, Thạch Hội, Thạch Lưu, Thạch Thắng, Thạch Văn, Thạch Vĩnh, Thạch Xuân, Thị trấn) chưa giao nộp sp giai đoạn 2</t>
  </si>
  <si>
    <t>Còn 15/16 phường, xã (Hà Huy Tập) chưa giao nộp sp giai đoạn 2</t>
  </si>
  <si>
    <t>Còn 8/25 xã (Cẩm Dương, Cẩm Hà, Cẩm Lạc, Cẩm Lộc, Cẩm Mỹ, Cẩm Thịnh, Cẩm Vịnh, Cẩm Yên) chưa giao nộp sp giai đoạn 2</t>
  </si>
  <si>
    <t>Còn 13/20 xã (Kỳ Phong, Kỳ Tiến, Kỳ Xuân, Kỳ Giang, Kỳ Thọ, Kỳ Thư, Kỳ Châu, Kỳ Tân, Kỳ Hải, Kỳ Sơn, Kỳ Lâm, Kỳ Thượng, Kỳ Tây) chưa giao nộp sp giai đoạn 2</t>
  </si>
  <si>
    <t>Còn 3/6 xã (Kỳ Hà, Kỳ Ninh, Kỳ Hưng) chưa giao nộp sp giai đoạn 2</t>
  </si>
  <si>
    <t>(Biến động thửa đất kể từ khi đo đạc bản đồ đến thời điểm thực hiện Đề án)</t>
  </si>
  <si>
    <t>Chỉ đo thị trấn Cẩm Xuyên nhưng chưa hoàn thiện hồ sơ địa chính</t>
  </si>
  <si>
    <t>Phường Nguyễn Du được thành lập sau thời điểm</t>
  </si>
  <si>
    <t>Đo thị trấn và 02 xã Hương Quang và Hương Điền</t>
  </si>
  <si>
    <t>Đo khép kín ranh giới thị trấn và đo đất nông nghiệp sau chuyển đổ 22 xã (Yên Hồ, Bùi Xá, Tùng Ảnh, Đức Nhân, Đức Thanh, Trung Lễ, Thái Yên, Đức La, Trường Sơn, Đức Thịnh, Đức Long, Đức Lập, Đức Lâm, Đức Hòa, Đức Lạc, Đức Đồng, Đức An, Đức Thủy, Đức Quang, Đức Châu, Đức Dũng, Đức Tùng)</t>
  </si>
  <si>
    <t>Bản đồ địa chính đo trước năm 2005, mức độ biến động lớn</t>
  </si>
  <si>
    <t>Chưa được đo đạc bản đồ địa chính</t>
  </si>
  <si>
    <t>Bản đồ địa chính đo trước năm 2007, mức độ biến động lớn</t>
  </si>
  <si>
    <t>Chưa được đo đạc bản đồ địa chính dạng số</t>
  </si>
  <si>
    <t>A</t>
  </si>
  <si>
    <t>Năm 2020</t>
  </si>
  <si>
    <t>Cộng (A+B)</t>
  </si>
  <si>
    <t>B</t>
  </si>
  <si>
    <t>Năm 2021</t>
  </si>
  <si>
    <t>Bản đồ 04 xã không có (Hương Đô, Phúc Đồng, Hương Trà và Thị trấn); 7 xã có sổ mục kê (Hương Bình, Hương Trạch, Phúc Trạch, Hương Đô, Phương Điền, Hương Vĩnh và Hà Linh); 13 xã có sổ đăng ký (Hương Bình, Hương Thủy, Hương Trạch, Phúc Trạch, Hương Đô, Phương Điền, Hương Lâm, Lộc Yên, Hương Vĩnh, Hương Xuân, Hương Long, Hà Linh và Phúc Đồng)</t>
  </si>
  <si>
    <t>Nguồn dữ liệu phục vụ chỉnh lý</t>
  </si>
  <si>
    <t>Đã có dữ liệu</t>
  </si>
  <si>
    <t>Chưa có dữ liệu</t>
  </si>
  <si>
    <t>Thuế GTGT (10%)</t>
  </si>
  <si>
    <t>Tổng sau thuế</t>
  </si>
  <si>
    <t>Làm tròn</t>
  </si>
  <si>
    <t>6/6 phường, xã còn bản đồ 299</t>
  </si>
  <si>
    <t xml:space="preserve">3 xã (Hương Thọ, Hương Quang, Hương Điền) và thị trấn không có bản đồ; 2 xã (Đức Bồng, Hương Minh) và Thị trấn có sổ mục kê;  </t>
  </si>
  <si>
    <t>23/23 xã, thị trấn đang có bản đồ</t>
  </si>
  <si>
    <t xml:space="preserve">6 xã không có bản đồ (Bùi Xá, Đức An, Đức Nhân, Liên Minh, Tân Hương, Trung Lễ); 8 xã có sổ mục kê (Đức Lạng, Trung Lễ, Đức Thủy, Đức Thanh, Đức Thịnh, Thái Yên, Đức Yên, Đức La); sổ đăng ký 01 xã có (Đức Thịnh)  </t>
  </si>
  <si>
    <t xml:space="preserve">32/32 xã, thị trấn có bản đồ; 9 xã, thị trấn không có sổ mục kê (Sơn Hòa, Sơn Phú, Sơn Ninh, Sơn Kim 2, Sơn Tây, Sơn Lĩnh, Sơn Tân , Sơn Châu, TT Tây Sơn); 11 xã có sổ đăng ký (Sơn Hà, Sơn Trà, Sơn Bình, Sơn Tân, Sơn Lễ, Sơn Diệm, Sơn Phúc, Sơn Lâm, Sơn Quang, Sơn Trung, Sơn Hàm;  </t>
  </si>
  <si>
    <t>13/13 xã đang có bản đồ; 4 xã không có sổ mục kê (Thạch Châu, Thạch Bằng, Phù Lưu, Ích Hậu); 5 xã có sổ đăng ký (Thạch Kim, Thạch Mỹ, Mai Phụ, Hộ Độ, Thạch Bằng)</t>
  </si>
  <si>
    <t>12/12 xã, phường có bản đồ; 02 xã, phường không có sổ mục kê (Kỳ Hoa, Kỳ Phương); 0 phường không có sổ đăng ký (Kỳ Trinh, Kỳ Liên, Kỳ Phương)</t>
  </si>
  <si>
    <t xml:space="preserve">19/19 xã, thị trấn có bản đồ; Sổ mục kê thiếu xã Cương Gián; Sổ đăng ký chỉ có xã Xuân Giang, Tiên Điền, Xuân Đan; </t>
  </si>
  <si>
    <t xml:space="preserve">2 xã không có bản đồ (Kỳ Trung, Kỳ Văn); 6 xã có sổ mục kê (Kỳ Thư, Kỳ Tiến, Kỳ Xuân, Kỳ Hải, Kỳ Tân, Kỳ Phong); 7 xã có sổ đăng ký (Kỳ Đồng, Kỳ Khang, Kỳ Lạc, Kỳ Tiến, Kỳ Xuân, Kỳ Giang, Kỳ Lâm, Kỳ Phong) </t>
  </si>
  <si>
    <t xml:space="preserve">02 xã không có bản đồ (Phù Việt, Thạch Bàn); 9 xã có sổ mục kê (Thạch Long, Thạch Tiến, Thạch Lưu, Thạch Vĩnh, Nam Hương, Thạch Văn, Thạch Khê, Thạch Đỉnh, Thạch Thắng); 9 xã không có sổ đăng ký (Thạch Kênh, Việt Xuyên, Phù Việt, Thạch Xuân, Bắc Sơn, Ngọc Sơn, Thạch Lâm, Thạch Tân, Thạch Bàn)   </t>
  </si>
  <si>
    <t>1 xã không có bản đồ (Cẩm Nhượng)</t>
  </si>
  <si>
    <t>Hồ sơ 299 có hồ sơ của 02 phường Bắc Hà, Nam Hà (trước khi chia tách) và 9 xã Thạch Hà sáp nhập; sổ đăng ký 4 phường, xã không có (Bắc Hà, Thạch Linh, Thạch Hạ, Thạch Bình)</t>
  </si>
  <si>
    <t>(Số thửa đất biến động dự báo)</t>
  </si>
  <si>
    <t>Trừ 10% tiết kiệm chi</t>
  </si>
  <si>
    <t>(Giai đoạn từ năm 2021 đến năm 2025 và định hướng đến các năm tiếp theo)</t>
  </si>
  <si>
    <t xml:space="preserve">Phụ lục 05. TỔNG HỢP TÌNH HÌNH BIẾN ĐỘNG BẢN ĐỒ ĐỊA CHÍNH ĐƯỢC LẬP THEO NGHỊ QUYẾT 54 CỦA HĐND TỈNH </t>
  </si>
  <si>
    <t xml:space="preserve">Trường hợp cập nhật, chỉnh lý </t>
  </si>
  <si>
    <t>Tài liệu phải cập nhật, chỉnh lý</t>
  </si>
  <si>
    <t>Căn cứ để cập nhật, chỉnh lý</t>
  </si>
  <si>
    <t>Đăng ký quyền sử dụng đất, quyền sở hữu tài sản gắn liền với đất lần đầu</t>
  </si>
  <si>
    <t>- Bản đồ địa chính và sổ mục kê đất đai</t>
  </si>
  <si>
    <t>- Sổ địa chính</t>
  </si>
  <si>
    <t>- Hồ sơ thủ tục đăng ký đất đai lần đầu đã được kiểm tra thẩm định ở các cấp;</t>
  </si>
  <si>
    <t>- Giấy chứng nhận đã cấp</t>
  </si>
  <si>
    <t>- Hồ sơ giao đất, cho thuê đất; đấu giá quyền sử dụng đất.</t>
  </si>
  <si>
    <t>2</t>
  </si>
  <si>
    <t>Đăng ký đất đai được Nhà nước giao quản lý</t>
  </si>
  <si>
    <t>- Hồ sơ thủ tục đăng ký đấtđai lần đầu đã được kiểm tra thẩm định ở các cấp</t>
  </si>
  <si>
    <t>- Hồ sơ giao đất để quản lý</t>
  </si>
  <si>
    <t>Đăng ký biến động trừ trường hợp quy định tại các mục 4, 5, 6 và 9 của Bảng này</t>
  </si>
  <si>
    <t>- Giấy chứng nhận đã cấp hoặc xác nhận thay đổi</t>
  </si>
  <si>
    <t>- Hồ sơ thủ tục đăng ký biến động đã được kiểm tra đủ điều kiện quy định</t>
  </si>
  <si>
    <t>Đăng ký cho thuê, cho thuê lại quyền sử dụng đất, quyền sở hữu tài sản gắn liền với đất</t>
  </si>
  <si>
    <t>- Hồ sơ thủ tục đăng ký cho thuê, cho thuê lại đã kiểm tra đủ điều kiện quy định</t>
  </si>
  <si>
    <t>5</t>
  </si>
  <si>
    <t>Xác lập hoặc thay đổi, chấm dứt quyền sử dụng hạn chế thửa đất liền kề</t>
  </si>
  <si>
    <t>- Hồ sơ về việc xác lập hoặc thay đổi, chấm dứt quyền sử dụng hạn chế thửa đất liền kề</t>
  </si>
  <si>
    <t>- Giấy chứng nhận đã xác nhận việc xác lập hoặc thay đổi, chấm dứt quyền sử dụng hạn chế thửa đất liền kề</t>
  </si>
  <si>
    <t>6</t>
  </si>
  <si>
    <t>Đăng ký thế chấp, xóa đăng ký thế chấp, đăng ký thay đổi nội dung thế chấp quyền sử dụng đất, quyền sở hữu tài sản gắn liền với đất</t>
  </si>
  <si>
    <t>- Giấy chứng nhận đã xác nhận đăng ký thế chấp, xóa đăng ký thế chấp, đăng ký thay đổi nội dung thế chấp</t>
  </si>
  <si>
    <t>- Hồ sơ thủ tục đăng ký thế chấp, xóa đăng ký thế chấp, đăng ký thay đổi nội dung thế chấp đã kiểm tra đủ điều kiện quy định</t>
  </si>
  <si>
    <t>7</t>
  </si>
  <si>
    <t>Cấp lại, cấp đổi Giấy chứng nhận (trừ trường hợp quy định tại mục 8 của Bảng này)</t>
  </si>
  <si>
    <t>- Giấy chứng nhận đã cấp lại</t>
  </si>
  <si>
    <t>- Hồ sơ thủ tục đăng ký cấp lại Giấy chứng nhận bị mất đã kiểm tra đủ điều kiện quy định</t>
  </si>
  <si>
    <t>Trường hợp cấp đổi Giấy chứng nhận do đo đạc lại, dồn điền đổi thửa</t>
  </si>
  <si>
    <t>-Bản đồ địa chính và sổ mục kê đất đai</t>
  </si>
  <si>
    <t>- Giấy chứng nhận cấp đổi</t>
  </si>
  <si>
    <t>- Hồ sơ thủ tục đăng ký cấp đổi Giấy chứng nhận bị mất đã kiểm tra đủ điều kiện quy định</t>
  </si>
  <si>
    <t>Nhà nước thu hồi đất</t>
  </si>
  <si>
    <t>- Giấy chứng nhận thu hồi hoặc đã chỉnh lý diện tích thu hồi</t>
  </si>
  <si>
    <t>- Hồ sơ thu hồi đất</t>
  </si>
  <si>
    <t>Đính chính nội dung Giấy chứng nhận</t>
  </si>
  <si>
    <t>- Giấy chứng nhận đã được đính chính;</t>
  </si>
  <si>
    <t>- Biên bản kiểm tra xác định nội dung sai sót trên Giấy chứng nhận đã cấp</t>
  </si>
  <si>
    <t>Thu hồi Giấy chứng nhận đã cấp (trừ trường hợp Nhà nước thu hồi đất)</t>
  </si>
  <si>
    <t>- Giấy chứng nhận đã cấp (nếu có)</t>
  </si>
  <si>
    <t>- Quyết định thu hồi Giấy chứng nhận đã cấp, quyết định huỷ Giấy chứng nhận đã cấp</t>
  </si>
  <si>
    <t>- Hồ sơ thực hiện thủ tục thu hồi Giấy chứng nhận đã kiểm tra đủ điều kiện quy định</t>
  </si>
  <si>
    <t>Thay đổi mục đích sử dụng đất hiện trạng mà chưa đăng ký biến động theo quy định</t>
  </si>
  <si>
    <t>- Hồ sơ thanh tra, kiểm tra sử dụng đất hàng năm</t>
  </si>
  <si>
    <t>- Tài liệu điều tra, kiểm kê đất đai đã được nghiệm thu công nhận</t>
  </si>
  <si>
    <t>13</t>
  </si>
  <si>
    <t>Thay đổi thông tin thửa đất do đo đạc lập bản đồ địa chính mà người sử dụng đất không cấp đổi Giấy chứng nhận</t>
  </si>
  <si>
    <t>- Bản đồ địa chính và sổ mục kê đất đai đã được kiểm tra nghiệm thu</t>
  </si>
  <si>
    <t>Phụ lục 06. NỘI DUNG CẬP NHẬT CHỈNH LÝ BIẾN ĐỘNG BẢN ĐỒ, HỒ SƠ ĐỊA CHÍNH</t>
  </si>
  <si>
    <t>Phụ lục 07. NHU CẦU ĐO ĐẠC BẢN ĐỒ ĐỊA CHỈNH ĐỂ HOÀN THIỆN HỒ SƠ ĐỊA CHÍNH</t>
  </si>
  <si>
    <t xml:space="preserve">Phụ lục 08. DỰ KIẾN MỨC ĐỘ BIẾN ĐỘNG BẢN ĐỒ ĐỊA CHÍNH HÀNG NĂM  </t>
  </si>
  <si>
    <t>Phụ lục 10. KHÁI TOÁN KINH PHÍ CẬP NHẬT CHỈNH LÝ BIẾN ĐỘNG BẢN ĐỒ, HỒ SƠ ĐỊA CHÍNH NĂM 2020</t>
  </si>
  <si>
    <t>Phụ lục 11. KHÁI TOÁN KINH PHÍ CẬP NHẬT CHỈNH LÝ BIẾN ĐỘNG BẢN ĐỒ, HỒ SƠ ĐỊA CHÍNH TỪ NĂM 2021 VỀ SAU</t>
  </si>
  <si>
    <t>Phụ lục 09. KHÁI TOÁN KINH PHÍ ĐO ĐẠC BẢN ĐỒ VÀ HOÀN THIỆN HỒ SƠ ĐỊA CHÍNH 19 XÃ, PHƯỜNG, THỊ TRẤN (Chưa thực hiện theo NQ 54)</t>
  </si>
  <si>
    <t>Khối lượng (thửa)</t>
  </si>
  <si>
    <t>Đơn giá (đồng)</t>
  </si>
  <si>
    <t>Thành tiền (đồng)</t>
  </si>
  <si>
    <t>Tổng kinh phí (đồng)</t>
  </si>
  <si>
    <t>Thời gian thực hiện</t>
  </si>
  <si>
    <t>Tổng nhu cầu</t>
  </si>
  <si>
    <t>Nguồn ngân sách</t>
  </si>
  <si>
    <t>Nguồn thu dịch vụ của Văn phòng đăng ký đất đai</t>
  </si>
  <si>
    <t>Năm 2022</t>
  </si>
  <si>
    <t>Giai đoạn 2020-2022</t>
  </si>
  <si>
    <t>Từ năm 2023 về sau</t>
  </si>
  <si>
    <t>Mức dự kiến</t>
  </si>
  <si>
    <t xml:space="preserve">Tổng sau thuế </t>
  </si>
  <si>
    <t>Dự kiến nguồn thu dịch vụ mức tăng 5% hàng năm</t>
  </si>
  <si>
    <t>Phụ lục 12. KẾ HOẠCH BỐ TRÍ KINH PHÍ THỰC HIỆN ĐỀ ÁN</t>
  </si>
  <si>
    <t>ĐVT: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</si>
</sst>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_);_(* \(#,##0\);_(* &quot;-&quot;??_);_(@_)"/>
    <numFmt numFmtId="166" formatCode="_(* #,##0.0_);_(* \(#,##0.0\);_(* &quot;-&quot;??_);_(@_)"/>
    <numFmt numFmtId="167" formatCode="_-* #,##0_-;\-* #,##0_-;_-* &quot;-&quot;??_-;_-@_-"/>
  </numFmts>
  <fonts count="21" x14ac:knownFonts="1">
    <font>
      <sz val="12"/>
      <color theme="1"/>
      <name val="Times New Roman"/>
      <family val="2"/>
    </font>
    <font>
      <b/>
      <sz val="12"/>
      <color theme="1"/>
      <name val="Times New Roman"/>
      <family val="1"/>
    </font>
    <font>
      <sz val="10"/>
      <color theme="1"/>
      <name val="Times New Roman"/>
      <family val="1"/>
    </font>
    <font>
      <sz val="11"/>
      <color theme="1"/>
      <name val="Times New Roman"/>
      <family val="1"/>
    </font>
    <font>
      <sz val="12"/>
      <color theme="1"/>
      <name val="Times New Roman"/>
      <family val="1"/>
    </font>
    <font>
      <sz val="12"/>
      <color theme="1"/>
      <name val="Times New Roman"/>
      <family val="2"/>
    </font>
    <font>
      <b/>
      <sz val="11"/>
      <color theme="1"/>
      <name val="Times New Roman"/>
      <family val="1"/>
    </font>
    <font>
      <b/>
      <sz val="10"/>
      <color theme="1"/>
      <name val="Times New Roman"/>
      <family val="1"/>
    </font>
    <font>
      <sz val="10"/>
      <color theme="1"/>
      <name val="Times New Roman"/>
      <family val="2"/>
    </font>
    <font>
      <i/>
      <sz val="12"/>
      <color theme="1"/>
      <name val="Times New Roman"/>
      <family val="1"/>
    </font>
    <font>
      <b/>
      <sz val="11"/>
      <color rgb="FF000000"/>
      <name val="Times New Roman"/>
      <family val="1"/>
    </font>
    <font>
      <b/>
      <i/>
      <sz val="11"/>
      <color rgb="FF000000"/>
      <name val="Times New Roman"/>
      <family val="1"/>
    </font>
    <font>
      <b/>
      <sz val="10"/>
      <color rgb="FF000000"/>
      <name val="Times New Roman"/>
      <family val="1"/>
    </font>
    <font>
      <sz val="12"/>
      <color rgb="FF000000"/>
      <name val="Times New Roman"/>
      <family val="1"/>
    </font>
    <font>
      <i/>
      <sz val="11"/>
      <color theme="1"/>
      <name val="Times New Roman"/>
      <family val="1"/>
    </font>
    <font>
      <b/>
      <i/>
      <sz val="12"/>
      <color theme="1"/>
      <name val="Times New Roman"/>
      <family val="1"/>
    </font>
    <font>
      <b/>
      <i/>
      <sz val="12"/>
      <color rgb="FF000000"/>
      <name val="Times New Roman"/>
      <family val="1"/>
    </font>
    <font>
      <sz val="11"/>
      <color theme="1"/>
      <name val="Times New Roman"/>
      <family val="2"/>
    </font>
    <font>
      <b/>
      <sz val="13"/>
      <color theme="1"/>
      <name val="Times New Roman"/>
      <family val="1"/>
    </font>
    <font>
      <b/>
      <i/>
      <sz val="11"/>
      <color theme="1"/>
      <name val="Times New Roman"/>
      <family val="1"/>
    </font>
    <font>
      <b/>
      <i/>
      <sz val="10"/>
      <color theme="1"/>
      <name val="Times New Roman"/>
      <family val="1"/>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5" fillId="0" borderId="0" applyFont="0" applyFill="0" applyBorder="0" applyAlignment="0" applyProtection="0"/>
  </cellStyleXfs>
  <cellXfs count="233">
    <xf numFmtId="0" fontId="0" fillId="0" borderId="0" xfId="0"/>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0" fillId="0" borderId="1" xfId="0" applyBorder="1"/>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right" vertical="center"/>
    </xf>
    <xf numFmtId="164" fontId="4" fillId="0" borderId="1" xfId="0" applyNumberFormat="1" applyFont="1" applyBorder="1" applyAlignment="1">
      <alignment horizontal="right" vertical="center" wrapText="1"/>
    </xf>
    <xf numFmtId="0" fontId="4" fillId="0" borderId="1" xfId="0" applyFont="1" applyBorder="1"/>
    <xf numFmtId="1" fontId="4" fillId="0" borderId="1" xfId="0" applyNumberFormat="1"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xf>
    <xf numFmtId="0" fontId="4" fillId="0" borderId="1" xfId="0" applyFont="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right"/>
    </xf>
    <xf numFmtId="3" fontId="0" fillId="0" borderId="0" xfId="0" applyNumberFormat="1"/>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10"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43" fontId="6" fillId="0" borderId="0" xfId="1" applyFont="1" applyAlignment="1">
      <alignment vertical="center" wrapText="1"/>
    </xf>
    <xf numFmtId="167" fontId="6" fillId="0" borderId="0" xfId="1" applyNumberFormat="1" applyFont="1" applyAlignment="1">
      <alignment vertical="center" wrapText="1"/>
    </xf>
    <xf numFmtId="0" fontId="14" fillId="0" borderId="14" xfId="0" applyFont="1" applyBorder="1" applyAlignment="1">
      <alignment horizontal="center" vertical="center" wrapText="1"/>
    </xf>
    <xf numFmtId="43" fontId="1" fillId="0" borderId="1" xfId="1" applyFont="1" applyBorder="1" applyAlignment="1">
      <alignment horizontal="center" vertical="center" wrapText="1"/>
    </xf>
    <xf numFmtId="167" fontId="1" fillId="0" borderId="1" xfId="1"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7" fontId="3" fillId="0" borderId="1" xfId="1" applyNumberFormat="1" applyFont="1" applyBorder="1" applyAlignment="1">
      <alignment vertical="center" wrapText="1"/>
    </xf>
    <xf numFmtId="43" fontId="3" fillId="0" borderId="1" xfId="1" applyFont="1" applyBorder="1" applyAlignment="1">
      <alignment vertical="center" wrapText="1"/>
    </xf>
    <xf numFmtId="167" fontId="3" fillId="0" borderId="2" xfId="1" applyNumberFormat="1" applyFont="1" applyBorder="1" applyAlignment="1">
      <alignment vertical="center" wrapText="1"/>
    </xf>
    <xf numFmtId="166" fontId="3" fillId="0" borderId="1" xfId="1" applyNumberFormat="1" applyFont="1" applyBorder="1" applyAlignment="1">
      <alignment vertical="center" wrapText="1"/>
    </xf>
    <xf numFmtId="43" fontId="7" fillId="0" borderId="1" xfId="1" applyFont="1" applyBorder="1" applyAlignment="1">
      <alignment horizontal="center" vertical="center" wrapText="1"/>
    </xf>
    <xf numFmtId="167" fontId="7" fillId="0" borderId="1" xfId="1" applyNumberFormat="1" applyFont="1" applyBorder="1" applyAlignment="1">
      <alignment horizontal="center" vertical="center" wrapText="1"/>
    </xf>
    <xf numFmtId="165" fontId="3" fillId="0" borderId="1" xfId="1" applyNumberFormat="1" applyFont="1" applyBorder="1" applyAlignment="1">
      <alignment vertical="center" wrapText="1"/>
    </xf>
    <xf numFmtId="165" fontId="1" fillId="0" borderId="1" xfId="1" applyNumberFormat="1" applyFont="1" applyBorder="1" applyAlignment="1">
      <alignment horizontal="center" vertical="center" wrapText="1"/>
    </xf>
    <xf numFmtId="2" fontId="0" fillId="0" borderId="0" xfId="0" applyNumberFormat="1"/>
    <xf numFmtId="165" fontId="0" fillId="0" borderId="0" xfId="1" applyNumberFormat="1" applyFont="1"/>
    <xf numFmtId="165" fontId="0" fillId="0" borderId="1" xfId="1" applyNumberFormat="1" applyFont="1" applyBorder="1"/>
    <xf numFmtId="1" fontId="0" fillId="0" borderId="1" xfId="0" applyNumberFormat="1" applyBorder="1" applyAlignment="1">
      <alignment horizontal="center"/>
    </xf>
    <xf numFmtId="165" fontId="1" fillId="0" borderId="1" xfId="1" applyNumberFormat="1" applyFont="1" applyBorder="1"/>
    <xf numFmtId="1" fontId="9" fillId="0" borderId="1" xfId="0" applyNumberFormat="1" applyFont="1" applyBorder="1" applyAlignment="1">
      <alignment horizontal="center"/>
    </xf>
    <xf numFmtId="2" fontId="9" fillId="0" borderId="1" xfId="0" applyNumberFormat="1" applyFont="1" applyBorder="1"/>
    <xf numFmtId="165" fontId="9" fillId="0" borderId="1" xfId="1" applyNumberFormat="1" applyFont="1" applyBorder="1"/>
    <xf numFmtId="0" fontId="0" fillId="0" borderId="1" xfId="0" applyBorder="1" applyAlignment="1">
      <alignment horizontal="center" vertical="center" wrapText="1"/>
    </xf>
    <xf numFmtId="0" fontId="8" fillId="0" borderId="1" xfId="0" applyFont="1" applyBorder="1" applyAlignment="1">
      <alignment horizontal="left" vertical="center" wrapText="1"/>
    </xf>
    <xf numFmtId="167" fontId="1" fillId="0" borderId="1" xfId="1" applyNumberFormat="1" applyFont="1" applyBorder="1" applyAlignment="1">
      <alignment horizontal="center" vertical="center" wrapText="1"/>
    </xf>
    <xf numFmtId="0" fontId="1" fillId="0" borderId="13" xfId="0" applyFont="1" applyBorder="1" applyAlignment="1">
      <alignment horizontal="center" vertical="center" wrapText="1"/>
    </xf>
    <xf numFmtId="0" fontId="7" fillId="0" borderId="13" xfId="0" applyFont="1" applyBorder="1" applyAlignment="1">
      <alignment horizontal="center" vertical="center" wrapText="1"/>
    </xf>
    <xf numFmtId="167" fontId="1" fillId="0" borderId="13" xfId="1" applyNumberFormat="1" applyFont="1" applyBorder="1" applyAlignment="1">
      <alignment horizontal="center" vertical="center" wrapText="1"/>
    </xf>
    <xf numFmtId="43" fontId="6" fillId="0" borderId="3" xfId="1"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66" fontId="1"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1" fontId="0" fillId="0" borderId="0" xfId="0" applyNumberFormat="1"/>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16" fillId="0" borderId="1" xfId="0" applyFont="1" applyBorder="1" applyAlignment="1">
      <alignment horizontal="right" vertical="center"/>
    </xf>
    <xf numFmtId="1" fontId="4" fillId="0" borderId="1" xfId="0" applyNumberFormat="1" applyFont="1" applyBorder="1" applyAlignment="1">
      <alignment horizontal="center"/>
    </xf>
    <xf numFmtId="165" fontId="0" fillId="0" borderId="0" xfId="0" applyNumberFormat="1"/>
    <xf numFmtId="165" fontId="1" fillId="0" borderId="1" xfId="1" applyNumberFormat="1" applyFont="1" applyBorder="1" applyAlignment="1">
      <alignment horizontal="center" vertical="center" wrapText="1"/>
    </xf>
    <xf numFmtId="0" fontId="18" fillId="0" borderId="1" xfId="0" applyFont="1" applyBorder="1" applyAlignment="1">
      <alignment horizontal="center" vertical="center" wrapText="1"/>
    </xf>
    <xf numFmtId="0" fontId="4" fillId="0" borderId="1" xfId="0" applyFont="1" applyBorder="1" applyAlignment="1">
      <alignment horizontal="justify" vertical="center" wrapText="1"/>
    </xf>
    <xf numFmtId="2" fontId="1" fillId="0" borderId="0" xfId="0" applyNumberFormat="1" applyFont="1" applyAlignment="1"/>
    <xf numFmtId="165" fontId="1" fillId="0" borderId="1" xfId="1" applyNumberFormat="1" applyFont="1" applyBorder="1" applyAlignment="1">
      <alignment horizontal="right" vertical="center" wrapText="1"/>
    </xf>
    <xf numFmtId="0" fontId="17" fillId="0" borderId="1" xfId="0" applyFont="1" applyBorder="1" applyAlignment="1">
      <alignment horizontal="left" vertical="center" wrapText="1"/>
    </xf>
    <xf numFmtId="0" fontId="0" fillId="0" borderId="1" xfId="0" applyBorder="1" applyAlignment="1">
      <alignment horizontal="left" vertical="center" wrapText="1"/>
    </xf>
    <xf numFmtId="43" fontId="4" fillId="0" borderId="1" xfId="1" applyFont="1" applyBorder="1" applyAlignment="1">
      <alignment horizontal="right" vertical="center" wrapText="1"/>
    </xf>
    <xf numFmtId="43" fontId="1" fillId="0" borderId="1" xfId="1" applyFont="1" applyBorder="1" applyAlignment="1">
      <alignment horizontal="right" vertical="center"/>
    </xf>
    <xf numFmtId="165" fontId="4" fillId="0" borderId="1" xfId="1" applyNumberFormat="1" applyFont="1" applyBorder="1" applyAlignment="1">
      <alignment horizontal="right" vertical="center" wrapText="1"/>
    </xf>
    <xf numFmtId="165" fontId="1" fillId="0" borderId="1" xfId="1" applyNumberFormat="1" applyFont="1" applyBorder="1" applyAlignment="1">
      <alignment horizontal="right" vertical="center"/>
    </xf>
    <xf numFmtId="165" fontId="4" fillId="0" borderId="1" xfId="1" applyNumberFormat="1" applyFont="1" applyBorder="1" applyAlignment="1">
      <alignment vertical="center" wrapText="1"/>
    </xf>
    <xf numFmtId="165" fontId="13" fillId="0" borderId="1" xfId="1" applyNumberFormat="1" applyFont="1" applyBorder="1" applyAlignment="1">
      <alignment horizontal="right" vertical="center"/>
    </xf>
    <xf numFmtId="165" fontId="1" fillId="0" borderId="1" xfId="1" applyNumberFormat="1" applyFont="1" applyBorder="1" applyAlignment="1">
      <alignment vertical="center" wrapText="1"/>
    </xf>
    <xf numFmtId="165" fontId="1" fillId="0" borderId="1" xfId="1" applyNumberFormat="1" applyFont="1" applyBorder="1" applyAlignment="1"/>
    <xf numFmtId="165" fontId="4" fillId="2" borderId="1" xfId="1" applyNumberFormat="1" applyFont="1" applyFill="1" applyBorder="1" applyAlignment="1">
      <alignment horizontal="right" vertical="center"/>
    </xf>
    <xf numFmtId="165" fontId="4" fillId="2" borderId="1" xfId="1" applyNumberFormat="1" applyFont="1" applyFill="1" applyBorder="1" applyAlignment="1">
      <alignment vertical="center"/>
    </xf>
    <xf numFmtId="165" fontId="16" fillId="0" borderId="1" xfId="1" applyNumberFormat="1" applyFont="1" applyBorder="1" applyAlignment="1">
      <alignment horizontal="right"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166" fontId="19" fillId="0" borderId="1" xfId="1" applyNumberFormat="1" applyFont="1" applyBorder="1" applyAlignment="1">
      <alignment vertical="center" wrapText="1"/>
    </xf>
    <xf numFmtId="43" fontId="19" fillId="0" borderId="1" xfId="1" applyFont="1" applyBorder="1" applyAlignment="1">
      <alignment vertical="center" wrapText="1"/>
    </xf>
    <xf numFmtId="167" fontId="19" fillId="0" borderId="1" xfId="1" applyNumberFormat="1" applyFont="1" applyBorder="1" applyAlignment="1">
      <alignment vertical="center" wrapText="1"/>
    </xf>
    <xf numFmtId="0" fontId="15" fillId="0" borderId="0" xfId="0" applyFont="1"/>
    <xf numFmtId="0" fontId="1" fillId="0" borderId="0" xfId="0" applyFont="1"/>
    <xf numFmtId="0" fontId="6" fillId="0" borderId="2"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167" fontId="6" fillId="0" borderId="3" xfId="1" applyNumberFormat="1" applyFont="1" applyBorder="1" applyAlignment="1">
      <alignment vertical="center"/>
    </xf>
    <xf numFmtId="167" fontId="6" fillId="0" borderId="4" xfId="1" applyNumberFormat="1" applyFont="1" applyBorder="1" applyAlignment="1">
      <alignment vertical="center"/>
    </xf>
    <xf numFmtId="167" fontId="6" fillId="0" borderId="1" xfId="1" applyNumberFormat="1" applyFont="1" applyBorder="1" applyAlignment="1">
      <alignment vertical="center"/>
    </xf>
    <xf numFmtId="0" fontId="6" fillId="0" borderId="11" xfId="0" applyFont="1" applyBorder="1" applyAlignment="1">
      <alignment horizontal="center" vertical="center"/>
    </xf>
    <xf numFmtId="0" fontId="6" fillId="0" borderId="14" xfId="0" applyFont="1" applyBorder="1" applyAlignment="1">
      <alignment vertical="center"/>
    </xf>
    <xf numFmtId="43" fontId="6" fillId="0" borderId="14" xfId="1" applyFont="1" applyBorder="1" applyAlignment="1">
      <alignment vertical="center"/>
    </xf>
    <xf numFmtId="0" fontId="6" fillId="0" borderId="14" xfId="0" applyFont="1" applyBorder="1" applyAlignment="1">
      <alignment horizontal="center" vertical="center"/>
    </xf>
    <xf numFmtId="167" fontId="6" fillId="0" borderId="14" xfId="1" applyNumberFormat="1" applyFont="1" applyBorder="1" applyAlignment="1">
      <alignment vertical="center"/>
    </xf>
    <xf numFmtId="0" fontId="19" fillId="0" borderId="2" xfId="0" applyFont="1" applyBorder="1" applyAlignment="1">
      <alignment horizontal="center" vertical="center"/>
    </xf>
    <xf numFmtId="0" fontId="19" fillId="0" borderId="3" xfId="0" applyFont="1" applyBorder="1" applyAlignment="1">
      <alignment vertical="center"/>
    </xf>
    <xf numFmtId="43" fontId="19" fillId="0" borderId="3" xfId="1" applyFont="1" applyBorder="1" applyAlignment="1">
      <alignment vertical="center"/>
    </xf>
    <xf numFmtId="0" fontId="19" fillId="0" borderId="3" xfId="0" applyFont="1" applyBorder="1" applyAlignment="1">
      <alignment horizontal="center" vertical="center"/>
    </xf>
    <xf numFmtId="167" fontId="19" fillId="0" borderId="3" xfId="1" applyNumberFormat="1" applyFont="1" applyBorder="1" applyAlignment="1">
      <alignment vertical="center"/>
    </xf>
    <xf numFmtId="167" fontId="19" fillId="0" borderId="4" xfId="1" applyNumberFormat="1" applyFont="1" applyBorder="1" applyAlignment="1">
      <alignment vertical="center"/>
    </xf>
    <xf numFmtId="167" fontId="19" fillId="0" borderId="1" xfId="1" applyNumberFormat="1" applyFont="1" applyBorder="1" applyAlignment="1">
      <alignment vertical="center"/>
    </xf>
    <xf numFmtId="0" fontId="19" fillId="0" borderId="11" xfId="0" applyFont="1" applyBorder="1" applyAlignment="1">
      <alignment horizontal="center" vertical="center"/>
    </xf>
    <xf numFmtId="0" fontId="19" fillId="0" borderId="14" xfId="0" applyFont="1" applyBorder="1" applyAlignment="1">
      <alignment vertical="center"/>
    </xf>
    <xf numFmtId="43" fontId="19" fillId="0" borderId="14" xfId="1" applyFont="1" applyBorder="1" applyAlignment="1">
      <alignment vertical="center"/>
    </xf>
    <xf numFmtId="0" fontId="19" fillId="0" borderId="14" xfId="0" applyFont="1" applyBorder="1" applyAlignment="1">
      <alignment horizontal="center" vertical="center"/>
    </xf>
    <xf numFmtId="167" fontId="19" fillId="0" borderId="14" xfId="1" applyNumberFormat="1" applyFont="1" applyBorder="1" applyAlignment="1">
      <alignment vertical="center"/>
    </xf>
    <xf numFmtId="165" fontId="19" fillId="0" borderId="1" xfId="1" applyNumberFormat="1" applyFont="1" applyBorder="1" applyAlignment="1">
      <alignment vertical="center" wrapText="1"/>
    </xf>
    <xf numFmtId="165" fontId="1" fillId="0" borderId="1" xfId="1" applyNumberFormat="1" applyFont="1" applyBorder="1" applyAlignment="1">
      <alignment vertical="center"/>
    </xf>
    <xf numFmtId="2" fontId="1" fillId="0" borderId="0" xfId="0" applyNumberFormat="1" applyFont="1" applyAlignment="1">
      <alignment vertical="center"/>
    </xf>
    <xf numFmtId="0" fontId="1" fillId="0" borderId="0" xfId="0" applyFont="1" applyAlignment="1">
      <alignment vertical="center"/>
    </xf>
    <xf numFmtId="165" fontId="0" fillId="0" borderId="1" xfId="1" applyNumberFormat="1" applyFont="1" applyBorder="1" applyAlignment="1">
      <alignment vertical="center"/>
    </xf>
    <xf numFmtId="2" fontId="0" fillId="0" borderId="0" xfId="0" applyNumberFormat="1" applyAlignment="1">
      <alignment vertical="center"/>
    </xf>
    <xf numFmtId="0" fontId="0" fillId="0" borderId="0" xfId="0" applyAlignment="1">
      <alignmen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 fillId="0" borderId="13" xfId="0" applyFont="1" applyBorder="1" applyAlignment="1">
      <alignment horizontal="center" vertical="center" wrapText="1"/>
    </xf>
    <xf numFmtId="165" fontId="1" fillId="0" borderId="1" xfId="1"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9" fillId="0" borderId="0" xfId="0" applyFont="1" applyAlignment="1">
      <alignment horizont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2" fontId="1" fillId="0" borderId="0" xfId="0" applyNumberFormat="1"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16"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167" fontId="1" fillId="0" borderId="1" xfId="1" applyNumberFormat="1"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43" fontId="1" fillId="0" borderId="7" xfId="1" applyFont="1" applyBorder="1" applyAlignment="1">
      <alignment horizontal="center" vertical="center" wrapText="1"/>
    </xf>
    <xf numFmtId="43" fontId="1" fillId="0" borderId="8" xfId="1" applyFont="1" applyBorder="1" applyAlignment="1">
      <alignment horizontal="center" vertical="center" wrapText="1"/>
    </xf>
    <xf numFmtId="43" fontId="1" fillId="0" borderId="11" xfId="1" applyFont="1" applyBorder="1" applyAlignment="1">
      <alignment horizontal="center" vertical="center" wrapText="1"/>
    </xf>
    <xf numFmtId="43" fontId="1" fillId="0" borderId="12" xfId="1"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167" fontId="1" fillId="0" borderId="7" xfId="1" applyNumberFormat="1" applyFont="1" applyBorder="1" applyAlignment="1">
      <alignment horizontal="center" vertical="center" wrapText="1"/>
    </xf>
    <xf numFmtId="167" fontId="1" fillId="0" borderId="15" xfId="1" applyNumberFormat="1" applyFont="1" applyBorder="1" applyAlignment="1">
      <alignment horizontal="center" vertical="center" wrapText="1"/>
    </xf>
    <xf numFmtId="167" fontId="1" fillId="0" borderId="8" xfId="1" applyNumberFormat="1" applyFont="1" applyBorder="1" applyAlignment="1">
      <alignment horizontal="center" vertical="center" wrapText="1"/>
    </xf>
    <xf numFmtId="167" fontId="1" fillId="0" borderId="6" xfId="1" applyNumberFormat="1" applyFont="1" applyBorder="1" applyAlignment="1">
      <alignment horizontal="center" vertical="center" wrapText="1"/>
    </xf>
    <xf numFmtId="167" fontId="1" fillId="0" borderId="5" xfId="1" applyNumberFormat="1" applyFont="1" applyBorder="1" applyAlignment="1">
      <alignment horizontal="center" vertical="center" wrapText="1"/>
    </xf>
    <xf numFmtId="167" fontId="1" fillId="0" borderId="13" xfId="1" applyNumberFormat="1" applyFont="1" applyBorder="1" applyAlignment="1">
      <alignment horizontal="center" vertical="center" wrapText="1"/>
    </xf>
    <xf numFmtId="0" fontId="19" fillId="0" borderId="3" xfId="0" applyFont="1" applyBorder="1" applyAlignment="1">
      <alignment horizontal="left" vertical="center"/>
    </xf>
    <xf numFmtId="0" fontId="6" fillId="0" borderId="3" xfId="0" applyFont="1" applyBorder="1" applyAlignment="1">
      <alignment horizontal="left" vertical="center"/>
    </xf>
    <xf numFmtId="167" fontId="1" fillId="0" borderId="2" xfId="1" applyNumberFormat="1" applyFont="1" applyBorder="1" applyAlignment="1">
      <alignment horizontal="center" vertical="center" wrapText="1"/>
    </xf>
    <xf numFmtId="167" fontId="1" fillId="0" borderId="4" xfId="1" applyNumberFormat="1" applyFont="1" applyBorder="1" applyAlignment="1">
      <alignment horizontal="center" vertical="center" wrapText="1"/>
    </xf>
    <xf numFmtId="2" fontId="15" fillId="0" borderId="0" xfId="0" applyNumberFormat="1" applyFont="1" applyAlignment="1">
      <alignment horizontal="center"/>
    </xf>
    <xf numFmtId="2" fontId="1" fillId="0" borderId="2" xfId="0" applyNumberFormat="1" applyFont="1" applyBorder="1" applyAlignment="1">
      <alignment horizontal="left" vertical="center"/>
    </xf>
    <xf numFmtId="2" fontId="1" fillId="0" borderId="3" xfId="0" applyNumberFormat="1" applyFont="1" applyBorder="1" applyAlignment="1">
      <alignment horizontal="left" vertical="center"/>
    </xf>
    <xf numFmtId="2" fontId="1" fillId="0" borderId="4" xfId="0" applyNumberFormat="1" applyFont="1" applyBorder="1" applyAlignment="1">
      <alignment horizontal="left" vertical="center"/>
    </xf>
    <xf numFmtId="2" fontId="8" fillId="0" borderId="2" xfId="0" applyNumberFormat="1" applyFont="1" applyBorder="1" applyAlignment="1">
      <alignment horizontal="left"/>
    </xf>
    <xf numFmtId="2" fontId="8" fillId="0" borderId="4" xfId="0" applyNumberFormat="1" applyFont="1" applyBorder="1" applyAlignment="1">
      <alignment horizontal="left"/>
    </xf>
    <xf numFmtId="2" fontId="1" fillId="0" borderId="7"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2" fontId="1" fillId="0" borderId="11"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165" fontId="1" fillId="0" borderId="2" xfId="1" applyNumberFormat="1" applyFont="1" applyBorder="1" applyAlignment="1">
      <alignment horizontal="center" vertical="center" wrapText="1"/>
    </xf>
    <xf numFmtId="165" fontId="1" fillId="0" borderId="3" xfId="1" applyNumberFormat="1" applyFont="1" applyBorder="1" applyAlignment="1">
      <alignment horizontal="center" vertical="center" wrapText="1"/>
    </xf>
    <xf numFmtId="165" fontId="1" fillId="0" borderId="4" xfId="1" applyNumberFormat="1" applyFont="1" applyBorder="1" applyAlignment="1">
      <alignment horizontal="center" vertical="center" wrapText="1"/>
    </xf>
    <xf numFmtId="165" fontId="1" fillId="0" borderId="6" xfId="1" applyNumberFormat="1" applyFont="1" applyBorder="1" applyAlignment="1">
      <alignment horizontal="center" vertical="center" wrapText="1"/>
    </xf>
    <xf numFmtId="165" fontId="1" fillId="0" borderId="5" xfId="1" applyNumberFormat="1" applyFont="1" applyBorder="1" applyAlignment="1">
      <alignment horizontal="center" vertical="center" wrapText="1"/>
    </xf>
    <xf numFmtId="165" fontId="1" fillId="0" borderId="13" xfId="1" applyNumberFormat="1" applyFont="1" applyBorder="1" applyAlignment="1">
      <alignment horizontal="center" vertical="center" wrapText="1"/>
    </xf>
    <xf numFmtId="2" fontId="1" fillId="0" borderId="2" xfId="0" applyNumberFormat="1" applyFont="1" applyBorder="1" applyAlignment="1">
      <alignment horizontal="left"/>
    </xf>
    <xf numFmtId="2" fontId="1" fillId="0" borderId="3" xfId="0" applyNumberFormat="1" applyFont="1" applyBorder="1" applyAlignment="1">
      <alignment horizontal="left"/>
    </xf>
    <xf numFmtId="2" fontId="1" fillId="0" borderId="4" xfId="0" applyNumberFormat="1" applyFont="1" applyBorder="1" applyAlignment="1">
      <alignment horizontal="left"/>
    </xf>
    <xf numFmtId="165" fontId="1" fillId="0" borderId="1" xfId="1" applyNumberFormat="1" applyFont="1" applyBorder="1" applyAlignment="1">
      <alignment horizontal="center" vertical="center" wrapText="1"/>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2" fontId="1" fillId="0" borderId="4" xfId="0" applyNumberFormat="1" applyFont="1" applyBorder="1" applyAlignment="1">
      <alignment horizontal="center"/>
    </xf>
    <xf numFmtId="2" fontId="4" fillId="0" borderId="2" xfId="0" applyNumberFormat="1" applyFont="1" applyBorder="1" applyAlignment="1"/>
    <xf numFmtId="2" fontId="4" fillId="0" borderId="4" xfId="0" applyNumberFormat="1" applyFont="1" applyBorder="1" applyAlignment="1"/>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0" fillId="0" borderId="1" xfId="0" applyFont="1" applyBorder="1" applyAlignment="1">
      <alignment vertical="center" wrapText="1"/>
    </xf>
    <xf numFmtId="43" fontId="4" fillId="2" borderId="1" xfId="1" applyFont="1" applyFill="1" applyBorder="1" applyAlignment="1">
      <alignment horizontal="right" vertical="center"/>
    </xf>
    <xf numFmtId="43" fontId="4" fillId="2" borderId="1" xfId="1" applyFont="1" applyFill="1" applyBorder="1" applyAlignment="1">
      <alignment vertical="center"/>
    </xf>
    <xf numFmtId="43" fontId="16" fillId="0" borderId="1" xfId="1" applyFont="1" applyBorder="1" applyAlignment="1">
      <alignment horizontal="right" vertical="center"/>
    </xf>
    <xf numFmtId="0" fontId="1" fillId="0" borderId="15" xfId="0" applyFont="1" applyBorder="1" applyAlignment="1">
      <alignment horizontal="center" vertical="center" wrapText="1"/>
    </xf>
    <xf numFmtId="0" fontId="1" fillId="0" borderId="13" xfId="0" applyFont="1" applyBorder="1" applyAlignment="1">
      <alignment horizontal="left" vertical="center" wrapText="1"/>
    </xf>
    <xf numFmtId="165" fontId="1" fillId="0" borderId="13" xfId="0" applyNumberFormat="1" applyFont="1" applyBorder="1" applyAlignment="1">
      <alignment horizontal="center" vertical="center" wrapText="1"/>
    </xf>
    <xf numFmtId="43" fontId="3" fillId="0" borderId="1" xfId="1" applyFont="1" applyBorder="1" applyAlignment="1">
      <alignment vertical="center"/>
    </xf>
    <xf numFmtId="43" fontId="6" fillId="0" borderId="1" xfId="1" applyFont="1" applyBorder="1" applyAlignment="1">
      <alignment vertical="center"/>
    </xf>
    <xf numFmtId="165" fontId="6" fillId="0" borderId="1" xfId="1" applyNumberFormat="1" applyFont="1" applyBorder="1" applyAlignment="1">
      <alignment vertical="center"/>
    </xf>
    <xf numFmtId="0" fontId="1" fillId="0" borderId="1" xfId="0" applyFont="1" applyBorder="1" applyAlignment="1">
      <alignment horizontal="center"/>
    </xf>
    <xf numFmtId="165" fontId="1" fillId="0" borderId="1" xfId="0" applyNumberFormat="1" applyFont="1" applyBorder="1"/>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14"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u%20toan%20kinh%20phi%20do%20ve%2019%20xa%20ngoai%20Du%20a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20toan%20chinh%20ly%20bien%20d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6">
          <cell r="D26">
            <v>3194.82</v>
          </cell>
        </row>
        <row r="29">
          <cell r="D29">
            <v>4613.4000000000005</v>
          </cell>
        </row>
        <row r="32">
          <cell r="D32">
            <v>3071.7000000000003</v>
          </cell>
        </row>
        <row r="35">
          <cell r="D35">
            <v>3652.92</v>
          </cell>
        </row>
        <row r="38">
          <cell r="D38">
            <v>3249.54</v>
          </cell>
        </row>
        <row r="41">
          <cell r="D41">
            <v>2350.2599999999998</v>
          </cell>
        </row>
        <row r="44">
          <cell r="D44">
            <v>10215</v>
          </cell>
        </row>
        <row r="47">
          <cell r="D47">
            <v>16650</v>
          </cell>
        </row>
        <row r="52">
          <cell r="D52">
            <v>25224.12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X Ky Anh"/>
      <sheetName val="Huyen Ky Anh"/>
      <sheetName val="Cam Xuyen"/>
      <sheetName val="Thach Ha"/>
      <sheetName val="Huong Khe"/>
      <sheetName val="Vu Quang"/>
      <sheetName val="Huong Son"/>
      <sheetName val="Duc Thọ"/>
      <sheetName val="Can Loc"/>
      <sheetName val="Loc Ha"/>
      <sheetName val="Nghi Xuan"/>
      <sheetName val="TX Hong Linh"/>
      <sheetName val="TP. Ha Tinh"/>
      <sheetName val="Tong hop huyen"/>
      <sheetName val="Dự toán KK 3"/>
      <sheetName val="DT KK 1"/>
      <sheetName val="DT K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A5" t="str">
            <v>STT</v>
          </cell>
          <cell r="B5" t="str">
            <v>Tên huyện, thành phố, thị xã</v>
          </cell>
          <cell r="D5" t="str">
            <v>Nguồn dữ liệu phục vụ chỉnh lý</v>
          </cell>
        </row>
        <row r="6">
          <cell r="D6" t="str">
            <v>Đã có dữ liệu số</v>
          </cell>
          <cell r="G6" t="str">
            <v>Chưa có dữ liệu số</v>
          </cell>
        </row>
        <row r="9">
          <cell r="A9">
            <v>1</v>
          </cell>
          <cell r="B9" t="str">
            <v>Thành phố Hà Tĩnh</v>
          </cell>
        </row>
        <row r="10">
          <cell r="E10">
            <v>25850</v>
          </cell>
          <cell r="H10">
            <v>222286</v>
          </cell>
        </row>
        <row r="11">
          <cell r="E11">
            <v>10126</v>
          </cell>
          <cell r="H11">
            <v>10126</v>
          </cell>
        </row>
        <row r="12">
          <cell r="A12">
            <v>2</v>
          </cell>
          <cell r="B12" t="str">
            <v>Thị xã Hồng Lĩnh</v>
          </cell>
        </row>
        <row r="13">
          <cell r="E13">
            <v>25850</v>
          </cell>
          <cell r="H13">
            <v>220854</v>
          </cell>
        </row>
        <row r="14">
          <cell r="E14">
            <v>10126</v>
          </cell>
          <cell r="H14">
            <v>10126</v>
          </cell>
        </row>
        <row r="16">
          <cell r="E16">
            <v>25850</v>
          </cell>
          <cell r="H16">
            <v>222286</v>
          </cell>
        </row>
        <row r="17">
          <cell r="E17">
            <v>10126</v>
          </cell>
          <cell r="H17">
            <v>10126</v>
          </cell>
        </row>
        <row r="19">
          <cell r="E19">
            <v>25850</v>
          </cell>
          <cell r="H19">
            <v>220854</v>
          </cell>
        </row>
        <row r="20">
          <cell r="E20">
            <v>10126</v>
          </cell>
          <cell r="H20">
            <v>10126</v>
          </cell>
        </row>
        <row r="22">
          <cell r="E22">
            <v>25850</v>
          </cell>
          <cell r="H22">
            <v>220854</v>
          </cell>
        </row>
        <row r="23">
          <cell r="E23">
            <v>10126</v>
          </cell>
          <cell r="H23">
            <v>10126</v>
          </cell>
        </row>
        <row r="25">
          <cell r="E25">
            <v>25850</v>
          </cell>
          <cell r="H25">
            <v>220854</v>
          </cell>
        </row>
        <row r="26">
          <cell r="E26">
            <v>10126</v>
          </cell>
          <cell r="H26">
            <v>10126</v>
          </cell>
        </row>
        <row r="28">
          <cell r="E28">
            <v>25850</v>
          </cell>
          <cell r="H28">
            <v>220854</v>
          </cell>
        </row>
        <row r="29">
          <cell r="E29">
            <v>10126</v>
          </cell>
          <cell r="H29">
            <v>10126</v>
          </cell>
        </row>
        <row r="31">
          <cell r="E31">
            <v>25850</v>
          </cell>
          <cell r="H31">
            <v>220854</v>
          </cell>
        </row>
        <row r="32">
          <cell r="E32">
            <v>10126</v>
          </cell>
          <cell r="H32">
            <v>10126</v>
          </cell>
        </row>
        <row r="34">
          <cell r="E34">
            <v>25850</v>
          </cell>
          <cell r="H34">
            <v>220854</v>
          </cell>
        </row>
        <row r="35">
          <cell r="E35">
            <v>10126</v>
          </cell>
          <cell r="H35">
            <v>10126</v>
          </cell>
        </row>
        <row r="37">
          <cell r="E37">
            <v>25850</v>
          </cell>
          <cell r="H37">
            <v>220854</v>
          </cell>
        </row>
        <row r="38">
          <cell r="E38">
            <v>10126</v>
          </cell>
          <cell r="H38">
            <v>10126</v>
          </cell>
        </row>
        <row r="40">
          <cell r="E40">
            <v>25850</v>
          </cell>
          <cell r="H40">
            <v>220854</v>
          </cell>
        </row>
        <row r="41">
          <cell r="E41">
            <v>10126</v>
          </cell>
          <cell r="H41">
            <v>10126</v>
          </cell>
        </row>
        <row r="45">
          <cell r="A45">
            <v>13</v>
          </cell>
        </row>
        <row r="46">
          <cell r="E46">
            <v>25850</v>
          </cell>
          <cell r="H46">
            <v>220854</v>
          </cell>
        </row>
        <row r="47">
          <cell r="E47">
            <v>10126</v>
          </cell>
          <cell r="H47">
            <v>10126</v>
          </cell>
        </row>
        <row r="48">
          <cell r="A48" t="str">
            <v>Tổng trước thuế</v>
          </cell>
        </row>
        <row r="49">
          <cell r="A49" t="str">
            <v>Thuế GTGT (10%)</v>
          </cell>
        </row>
        <row r="50">
          <cell r="A50" t="str">
            <v>Tổng sau thuế (làm tròn)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7" workbookViewId="0">
      <selection activeCell="B15" sqref="B15"/>
    </sheetView>
  </sheetViews>
  <sheetFormatPr defaultRowHeight="15.75" x14ac:dyDescent="0.25"/>
  <cols>
    <col min="1" max="1" width="4.625" customWidth="1"/>
    <col min="2" max="2" width="19.25" customWidth="1"/>
    <col min="3" max="4" width="6.125" customWidth="1"/>
    <col min="5" max="5" width="7.125" customWidth="1"/>
    <col min="6" max="6" width="10.875" bestFit="1" customWidth="1"/>
    <col min="7" max="7" width="6.125" customWidth="1"/>
    <col min="8" max="8" width="7" customWidth="1"/>
    <col min="9" max="9" width="6.75" customWidth="1"/>
    <col min="10" max="10" width="6.625" customWidth="1"/>
    <col min="11" max="11" width="6.25" customWidth="1"/>
    <col min="12" max="12" width="8.625" customWidth="1"/>
    <col min="13" max="13" width="31.375" customWidth="1"/>
  </cols>
  <sheetData>
    <row r="1" spans="1:13" x14ac:dyDescent="0.25">
      <c r="A1" s="137" t="s">
        <v>45</v>
      </c>
      <c r="B1" s="137"/>
      <c r="C1" s="137"/>
      <c r="D1" s="137"/>
      <c r="E1" s="137"/>
      <c r="F1" s="137"/>
      <c r="G1" s="137"/>
      <c r="H1" s="137"/>
      <c r="I1" s="137"/>
      <c r="J1" s="137"/>
      <c r="K1" s="137"/>
      <c r="L1" s="137"/>
      <c r="M1" s="137"/>
    </row>
    <row r="3" spans="1:13" ht="22.5" customHeight="1" x14ac:dyDescent="0.25">
      <c r="A3" s="136" t="s">
        <v>1</v>
      </c>
      <c r="B3" s="136" t="s">
        <v>2</v>
      </c>
      <c r="C3" s="136" t="s">
        <v>3</v>
      </c>
      <c r="D3" s="133" t="s">
        <v>27</v>
      </c>
      <c r="E3" s="134"/>
      <c r="F3" s="134"/>
      <c r="G3" s="134"/>
      <c r="H3" s="134"/>
      <c r="I3" s="134"/>
      <c r="J3" s="134"/>
      <c r="K3" s="134"/>
      <c r="L3" s="135"/>
      <c r="M3" s="136" t="s">
        <v>0</v>
      </c>
    </row>
    <row r="4" spans="1:13" ht="21" customHeight="1" x14ac:dyDescent="0.25">
      <c r="A4" s="136"/>
      <c r="B4" s="136"/>
      <c r="C4" s="136"/>
      <c r="D4" s="136" t="s">
        <v>4</v>
      </c>
      <c r="E4" s="136" t="s">
        <v>5</v>
      </c>
      <c r="F4" s="136" t="s">
        <v>9</v>
      </c>
      <c r="G4" s="133" t="s">
        <v>23</v>
      </c>
      <c r="H4" s="134"/>
      <c r="I4" s="133" t="s">
        <v>24</v>
      </c>
      <c r="J4" s="134"/>
      <c r="K4" s="133" t="s">
        <v>26</v>
      </c>
      <c r="L4" s="134"/>
      <c r="M4" s="136"/>
    </row>
    <row r="5" spans="1:13" ht="36" customHeight="1" x14ac:dyDescent="0.25">
      <c r="A5" s="136"/>
      <c r="B5" s="136"/>
      <c r="C5" s="136"/>
      <c r="D5" s="136"/>
      <c r="E5" s="136"/>
      <c r="F5" s="136"/>
      <c r="G5" s="20" t="s">
        <v>4</v>
      </c>
      <c r="H5" s="19" t="s">
        <v>25</v>
      </c>
      <c r="I5" s="20" t="s">
        <v>4</v>
      </c>
      <c r="J5" s="19" t="s">
        <v>25</v>
      </c>
      <c r="K5" s="20" t="s">
        <v>4</v>
      </c>
      <c r="L5" s="20" t="s">
        <v>25</v>
      </c>
      <c r="M5" s="136"/>
    </row>
    <row r="6" spans="1:13" ht="79.5" customHeight="1" x14ac:dyDescent="0.25">
      <c r="A6" s="3">
        <v>1</v>
      </c>
      <c r="B6" s="2" t="s">
        <v>11</v>
      </c>
      <c r="C6" s="9">
        <v>16</v>
      </c>
      <c r="D6" s="9">
        <v>15</v>
      </c>
      <c r="E6" s="9">
        <v>59</v>
      </c>
      <c r="F6" s="5">
        <v>6400</v>
      </c>
      <c r="G6" s="9">
        <v>10</v>
      </c>
      <c r="H6" s="9">
        <v>10</v>
      </c>
      <c r="I6" s="9">
        <v>7</v>
      </c>
      <c r="J6" s="9">
        <v>7</v>
      </c>
      <c r="K6" s="9">
        <v>0</v>
      </c>
      <c r="L6" s="9">
        <v>0</v>
      </c>
      <c r="M6" s="77" t="s">
        <v>164</v>
      </c>
    </row>
    <row r="7" spans="1:13" ht="24.95" customHeight="1" x14ac:dyDescent="0.25">
      <c r="A7" s="3">
        <v>2</v>
      </c>
      <c r="B7" s="4" t="s">
        <v>12</v>
      </c>
      <c r="C7" s="9">
        <v>6</v>
      </c>
      <c r="D7" s="9">
        <v>6</v>
      </c>
      <c r="E7" s="9">
        <v>37</v>
      </c>
      <c r="F7" s="5">
        <v>2766</v>
      </c>
      <c r="G7" s="9">
        <v>0</v>
      </c>
      <c r="H7" s="9">
        <v>0</v>
      </c>
      <c r="I7" s="9">
        <v>0</v>
      </c>
      <c r="J7" s="9">
        <v>0</v>
      </c>
      <c r="K7" s="9">
        <v>0</v>
      </c>
      <c r="L7" s="9">
        <v>0</v>
      </c>
      <c r="M7" s="77" t="s">
        <v>153</v>
      </c>
    </row>
    <row r="8" spans="1:13" ht="39" customHeight="1" x14ac:dyDescent="0.25">
      <c r="A8" s="3">
        <v>3</v>
      </c>
      <c r="B8" s="4" t="s">
        <v>13</v>
      </c>
      <c r="C8" s="9">
        <v>19</v>
      </c>
      <c r="D8" s="9">
        <v>19</v>
      </c>
      <c r="E8" s="9">
        <v>127</v>
      </c>
      <c r="F8" s="5">
        <v>11759</v>
      </c>
      <c r="G8" s="9">
        <v>18</v>
      </c>
      <c r="H8" s="9">
        <v>19</v>
      </c>
      <c r="I8" s="9">
        <v>3</v>
      </c>
      <c r="J8" s="9">
        <v>8</v>
      </c>
      <c r="K8" s="9">
        <v>0</v>
      </c>
      <c r="L8" s="9">
        <v>0</v>
      </c>
      <c r="M8" s="55" t="s">
        <v>160</v>
      </c>
    </row>
    <row r="9" spans="1:13" ht="104.25" customHeight="1" x14ac:dyDescent="0.25">
      <c r="A9" s="3">
        <v>4</v>
      </c>
      <c r="B9" s="4" t="s">
        <v>14</v>
      </c>
      <c r="C9" s="9">
        <v>28</v>
      </c>
      <c r="D9" s="9">
        <v>22</v>
      </c>
      <c r="E9" s="9">
        <v>108</v>
      </c>
      <c r="F9" s="5">
        <v>13903</v>
      </c>
      <c r="G9" s="9">
        <v>8</v>
      </c>
      <c r="H9" s="9">
        <v>10</v>
      </c>
      <c r="I9" s="9">
        <v>1</v>
      </c>
      <c r="J9" s="9">
        <v>1</v>
      </c>
      <c r="K9" s="9">
        <v>0</v>
      </c>
      <c r="L9" s="9">
        <v>0</v>
      </c>
      <c r="M9" s="2" t="s">
        <v>156</v>
      </c>
    </row>
    <row r="10" spans="1:13" ht="120.75" customHeight="1" x14ac:dyDescent="0.25">
      <c r="A10" s="3">
        <v>5</v>
      </c>
      <c r="B10" s="4" t="s">
        <v>15</v>
      </c>
      <c r="C10" s="9">
        <v>32</v>
      </c>
      <c r="D10" s="9">
        <v>32</v>
      </c>
      <c r="E10" s="9">
        <v>207</v>
      </c>
      <c r="F10" s="5">
        <v>18647</v>
      </c>
      <c r="G10" s="9">
        <v>23</v>
      </c>
      <c r="H10" s="9">
        <v>31</v>
      </c>
      <c r="I10" s="9">
        <v>11</v>
      </c>
      <c r="J10" s="9">
        <v>12</v>
      </c>
      <c r="K10" s="9">
        <v>0</v>
      </c>
      <c r="L10" s="9">
        <v>0</v>
      </c>
      <c r="M10" s="77" t="s">
        <v>157</v>
      </c>
    </row>
    <row r="11" spans="1:13" ht="122.25" customHeight="1" x14ac:dyDescent="0.25">
      <c r="A11" s="128">
        <v>6</v>
      </c>
      <c r="B11" s="4" t="s">
        <v>18</v>
      </c>
      <c r="C11" s="9">
        <v>22</v>
      </c>
      <c r="D11" s="9">
        <v>18</v>
      </c>
      <c r="E11" s="9">
        <v>164</v>
      </c>
      <c r="F11" s="5">
        <v>13239</v>
      </c>
      <c r="G11" s="9">
        <v>7</v>
      </c>
      <c r="H11" s="9">
        <v>7</v>
      </c>
      <c r="I11" s="9">
        <v>13</v>
      </c>
      <c r="J11" s="9">
        <v>24</v>
      </c>
      <c r="K11" s="9">
        <v>0</v>
      </c>
      <c r="L11" s="9">
        <v>0</v>
      </c>
      <c r="M11" s="55" t="s">
        <v>146</v>
      </c>
    </row>
    <row r="12" spans="1:13" ht="61.5" customHeight="1" x14ac:dyDescent="0.25">
      <c r="A12" s="128">
        <v>7</v>
      </c>
      <c r="B12" s="4" t="s">
        <v>19</v>
      </c>
      <c r="C12" s="9">
        <v>12</v>
      </c>
      <c r="D12" s="9">
        <v>8</v>
      </c>
      <c r="E12" s="9">
        <v>78</v>
      </c>
      <c r="F12" s="5">
        <v>4178</v>
      </c>
      <c r="G12" s="9">
        <v>3</v>
      </c>
      <c r="H12" s="9">
        <v>3</v>
      </c>
      <c r="I12" s="9">
        <v>0</v>
      </c>
      <c r="J12" s="9">
        <v>0</v>
      </c>
      <c r="K12" s="9">
        <v>0</v>
      </c>
      <c r="L12" s="9">
        <v>0</v>
      </c>
      <c r="M12" s="77" t="s">
        <v>154</v>
      </c>
    </row>
    <row r="13" spans="1:13" ht="51.75" customHeight="1" x14ac:dyDescent="0.25">
      <c r="A13" s="128">
        <v>8</v>
      </c>
      <c r="B13" s="130" t="s">
        <v>16</v>
      </c>
      <c r="C13" s="9">
        <v>23</v>
      </c>
      <c r="D13" s="9">
        <v>23</v>
      </c>
      <c r="E13" s="9">
        <v>237</v>
      </c>
      <c r="F13" s="5">
        <v>18610</v>
      </c>
      <c r="G13" s="9">
        <v>6</v>
      </c>
      <c r="H13" s="9">
        <v>22</v>
      </c>
      <c r="I13" s="9">
        <v>0</v>
      </c>
      <c r="J13" s="9">
        <v>0</v>
      </c>
      <c r="K13" s="9">
        <v>0</v>
      </c>
      <c r="L13" s="9">
        <v>0</v>
      </c>
      <c r="M13" s="78" t="s">
        <v>155</v>
      </c>
    </row>
    <row r="14" spans="1:13" ht="99.75" customHeight="1" x14ac:dyDescent="0.25">
      <c r="A14" s="128">
        <v>9</v>
      </c>
      <c r="B14" s="130" t="s">
        <v>17</v>
      </c>
      <c r="C14" s="9">
        <v>13</v>
      </c>
      <c r="D14" s="9">
        <v>11</v>
      </c>
      <c r="E14" s="9">
        <v>89</v>
      </c>
      <c r="F14" s="5">
        <v>8763</v>
      </c>
      <c r="G14" s="9">
        <v>8</v>
      </c>
      <c r="H14" s="9">
        <v>15</v>
      </c>
      <c r="I14" s="9">
        <v>5</v>
      </c>
      <c r="J14" s="9">
        <v>6</v>
      </c>
      <c r="K14" s="9">
        <v>0</v>
      </c>
      <c r="L14" s="9">
        <v>0</v>
      </c>
      <c r="M14" s="77" t="s">
        <v>158</v>
      </c>
    </row>
    <row r="15" spans="1:13" ht="128.25" customHeight="1" x14ac:dyDescent="0.25">
      <c r="A15" s="128">
        <v>10</v>
      </c>
      <c r="B15" s="4" t="s">
        <v>20</v>
      </c>
      <c r="C15" s="9">
        <v>31</v>
      </c>
      <c r="D15" s="9">
        <v>29</v>
      </c>
      <c r="E15" s="9">
        <v>251</v>
      </c>
      <c r="F15" s="5">
        <v>30000</v>
      </c>
      <c r="G15" s="9">
        <v>9</v>
      </c>
      <c r="H15" s="9">
        <v>10</v>
      </c>
      <c r="I15" s="9">
        <v>21</v>
      </c>
      <c r="J15" s="9">
        <v>31</v>
      </c>
      <c r="K15" s="9">
        <v>21</v>
      </c>
      <c r="L15" s="9">
        <v>16178</v>
      </c>
      <c r="M15" s="77" t="s">
        <v>162</v>
      </c>
    </row>
    <row r="16" spans="1:13" ht="26.25" customHeight="1" x14ac:dyDescent="0.25">
      <c r="A16" s="128">
        <v>11</v>
      </c>
      <c r="B16" s="4" t="s">
        <v>21</v>
      </c>
      <c r="C16" s="9">
        <v>27</v>
      </c>
      <c r="D16" s="9">
        <v>26</v>
      </c>
      <c r="E16" s="9">
        <v>248</v>
      </c>
      <c r="F16" s="5">
        <v>26754</v>
      </c>
      <c r="G16" s="9">
        <v>0</v>
      </c>
      <c r="H16" s="9">
        <v>0</v>
      </c>
      <c r="I16" s="9">
        <v>0</v>
      </c>
      <c r="J16" s="9">
        <v>0</v>
      </c>
      <c r="K16" s="9">
        <v>0</v>
      </c>
      <c r="L16" s="9">
        <v>0</v>
      </c>
      <c r="M16" s="77" t="s">
        <v>163</v>
      </c>
    </row>
    <row r="17" spans="1:13" ht="93" customHeight="1" x14ac:dyDescent="0.25">
      <c r="A17" s="128">
        <v>12</v>
      </c>
      <c r="B17" s="4" t="s">
        <v>22</v>
      </c>
      <c r="C17" s="9">
        <v>21</v>
      </c>
      <c r="D17" s="9">
        <v>19</v>
      </c>
      <c r="E17" s="9">
        <v>151</v>
      </c>
      <c r="F17" s="5">
        <v>15697</v>
      </c>
      <c r="G17" s="9">
        <v>6</v>
      </c>
      <c r="H17" s="9">
        <v>12</v>
      </c>
      <c r="I17" s="9">
        <v>8</v>
      </c>
      <c r="J17" s="9">
        <v>16</v>
      </c>
      <c r="K17" s="9">
        <v>7</v>
      </c>
      <c r="L17" s="9">
        <v>3185</v>
      </c>
      <c r="M17" s="77" t="s">
        <v>161</v>
      </c>
    </row>
    <row r="18" spans="1:13" ht="66.75" customHeight="1" x14ac:dyDescent="0.25">
      <c r="A18" s="128">
        <v>13</v>
      </c>
      <c r="B18" s="4" t="s">
        <v>10</v>
      </c>
      <c r="C18" s="9">
        <v>12</v>
      </c>
      <c r="D18" s="9">
        <v>12</v>
      </c>
      <c r="E18" s="9">
        <v>89</v>
      </c>
      <c r="F18" s="5">
        <v>8642</v>
      </c>
      <c r="G18" s="9">
        <v>10</v>
      </c>
      <c r="H18" s="9">
        <v>13</v>
      </c>
      <c r="I18" s="9">
        <v>9</v>
      </c>
      <c r="J18" s="9">
        <v>15</v>
      </c>
      <c r="K18" s="9">
        <v>6</v>
      </c>
      <c r="L18" s="9">
        <v>5318</v>
      </c>
      <c r="M18" s="77" t="s">
        <v>159</v>
      </c>
    </row>
    <row r="19" spans="1:13" ht="24" customHeight="1" x14ac:dyDescent="0.25">
      <c r="A19" s="133" t="s">
        <v>8</v>
      </c>
      <c r="B19" s="135"/>
      <c r="C19" s="76">
        <f>SUM(C6:C18)</f>
        <v>262</v>
      </c>
      <c r="D19" s="76">
        <f t="shared" ref="D19:L19" si="0">SUM(D6:D18)</f>
        <v>240</v>
      </c>
      <c r="E19" s="76">
        <f t="shared" si="0"/>
        <v>1845</v>
      </c>
      <c r="F19" s="76">
        <f t="shared" si="0"/>
        <v>179358</v>
      </c>
      <c r="G19" s="76">
        <f t="shared" si="0"/>
        <v>108</v>
      </c>
      <c r="H19" s="76">
        <f t="shared" si="0"/>
        <v>152</v>
      </c>
      <c r="I19" s="76">
        <f t="shared" si="0"/>
        <v>78</v>
      </c>
      <c r="J19" s="76">
        <f t="shared" si="0"/>
        <v>120</v>
      </c>
      <c r="K19" s="76">
        <f t="shared" si="0"/>
        <v>34</v>
      </c>
      <c r="L19" s="76">
        <f t="shared" si="0"/>
        <v>24681</v>
      </c>
      <c r="M19" s="7"/>
    </row>
  </sheetData>
  <mergeCells count="13">
    <mergeCell ref="A19:B19"/>
    <mergeCell ref="F4:F5"/>
    <mergeCell ref="G4:H4"/>
    <mergeCell ref="A3:A5"/>
    <mergeCell ref="B3:B5"/>
    <mergeCell ref="C3:C5"/>
    <mergeCell ref="D4:D5"/>
    <mergeCell ref="E4:E5"/>
    <mergeCell ref="I4:J4"/>
    <mergeCell ref="K4:L4"/>
    <mergeCell ref="D3:L3"/>
    <mergeCell ref="M3:M5"/>
    <mergeCell ref="A1:M1"/>
  </mergeCells>
  <pageMargins left="0.70866141732283472" right="0.19685039370078741" top="0.62992125984251968" bottom="0.51181102362204722" header="0.31496062992125984" footer="0.31496062992125984"/>
  <pageSetup paperSize="9" firstPageNumber="23" orientation="landscape"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workbookViewId="0">
      <selection activeCell="G35" sqref="G35"/>
    </sheetView>
  </sheetViews>
  <sheetFormatPr defaultRowHeight="15.75" x14ac:dyDescent="0.25"/>
  <cols>
    <col min="1" max="1" width="5.375" style="46" customWidth="1"/>
    <col min="2" max="2" width="10.625" style="46" customWidth="1"/>
    <col min="3" max="3" width="12" style="46" customWidth="1"/>
    <col min="4" max="4" width="10.125" style="47" bestFit="1" customWidth="1"/>
    <col min="5" max="5" width="10.125" style="47" customWidth="1"/>
    <col min="6" max="6" width="15.125" style="47" customWidth="1"/>
    <col min="7" max="7" width="10.125" style="47" bestFit="1" customWidth="1"/>
    <col min="8" max="8" width="10.75" style="47" customWidth="1"/>
    <col min="9" max="9" width="16.625" style="47" customWidth="1"/>
    <col min="10" max="10" width="19.875" style="47" customWidth="1"/>
    <col min="11" max="24" width="9" style="46"/>
  </cols>
  <sheetData>
    <row r="1" spans="1:10" x14ac:dyDescent="0.25">
      <c r="A1" s="148" t="s">
        <v>222</v>
      </c>
      <c r="B1" s="148"/>
      <c r="C1" s="148"/>
      <c r="D1" s="148"/>
      <c r="E1" s="148"/>
      <c r="F1" s="148"/>
      <c r="G1" s="148"/>
      <c r="H1" s="148"/>
      <c r="I1" s="148"/>
      <c r="J1" s="148"/>
    </row>
    <row r="2" spans="1:10" x14ac:dyDescent="0.25">
      <c r="A2" s="181" t="s">
        <v>132</v>
      </c>
      <c r="B2" s="181"/>
      <c r="C2" s="181"/>
      <c r="D2" s="181"/>
      <c r="E2" s="181"/>
      <c r="F2" s="181"/>
      <c r="G2" s="181"/>
      <c r="H2" s="181"/>
      <c r="I2" s="181"/>
      <c r="J2" s="181"/>
    </row>
    <row r="3" spans="1:10" ht="8.25" customHeight="1" x14ac:dyDescent="0.25"/>
    <row r="4" spans="1:10" ht="19.5" customHeight="1" x14ac:dyDescent="0.25">
      <c r="A4" s="193" t="str">
        <f>'[2]DT KK2'!A5</f>
        <v>STT</v>
      </c>
      <c r="B4" s="187" t="str">
        <f>'[2]DT KK2'!B5</f>
        <v>Tên huyện, thành phố, thị xã</v>
      </c>
      <c r="C4" s="188"/>
      <c r="D4" s="196" t="str">
        <f>'[2]DT KK2'!D5</f>
        <v>Nguồn dữ liệu phục vụ chỉnh lý</v>
      </c>
      <c r="E4" s="197"/>
      <c r="F4" s="197"/>
      <c r="G4" s="197"/>
      <c r="H4" s="197"/>
      <c r="I4" s="198"/>
      <c r="J4" s="199" t="s">
        <v>228</v>
      </c>
    </row>
    <row r="5" spans="1:10" ht="20.25" customHeight="1" x14ac:dyDescent="0.25">
      <c r="A5" s="194"/>
      <c r="B5" s="189"/>
      <c r="C5" s="190"/>
      <c r="D5" s="196" t="str">
        <f>'[2]DT KK2'!D6</f>
        <v>Đã có dữ liệu số</v>
      </c>
      <c r="E5" s="197"/>
      <c r="F5" s="198"/>
      <c r="G5" s="196" t="str">
        <f>'[2]DT KK2'!G6</f>
        <v>Chưa có dữ liệu số</v>
      </c>
      <c r="H5" s="197"/>
      <c r="I5" s="198"/>
      <c r="J5" s="200"/>
    </row>
    <row r="6" spans="1:10" ht="45.75" customHeight="1" x14ac:dyDescent="0.25">
      <c r="A6" s="195"/>
      <c r="B6" s="191"/>
      <c r="C6" s="192"/>
      <c r="D6" s="132" t="s">
        <v>101</v>
      </c>
      <c r="E6" s="132" t="s">
        <v>226</v>
      </c>
      <c r="F6" s="132" t="s">
        <v>227</v>
      </c>
      <c r="G6" s="132" t="s">
        <v>101</v>
      </c>
      <c r="H6" s="132" t="s">
        <v>226</v>
      </c>
      <c r="I6" s="132" t="s">
        <v>227</v>
      </c>
      <c r="J6" s="201"/>
    </row>
    <row r="7" spans="1:10" x14ac:dyDescent="0.25">
      <c r="A7" s="51">
        <f>'[2]DT KK2'!A9</f>
        <v>1</v>
      </c>
      <c r="B7" s="52" t="str">
        <f>'[2]DT KK2'!B9</f>
        <v>Thành phố Hà Tĩnh</v>
      </c>
      <c r="C7" s="52"/>
      <c r="D7" s="53"/>
      <c r="E7" s="53"/>
      <c r="F7" s="53"/>
      <c r="G7" s="53"/>
      <c r="H7" s="53"/>
      <c r="I7" s="53"/>
      <c r="J7" s="53">
        <f>J8+J9</f>
        <v>1901542271.7</v>
      </c>
    </row>
    <row r="8" spans="1:10" x14ac:dyDescent="0.25">
      <c r="A8" s="49"/>
      <c r="B8" s="185" t="s">
        <v>83</v>
      </c>
      <c r="C8" s="186"/>
      <c r="D8" s="48">
        <f>'PL05'!M10</f>
        <v>23032</v>
      </c>
      <c r="E8" s="48">
        <f>'[2]DT KK2'!E10</f>
        <v>25850</v>
      </c>
      <c r="F8" s="48">
        <f>D8*E8</f>
        <v>595377200</v>
      </c>
      <c r="G8" s="48">
        <f>'PL05'!O10</f>
        <v>5870</v>
      </c>
      <c r="H8" s="48">
        <f>'[2]DT KK2'!H10</f>
        <v>222286</v>
      </c>
      <c r="I8" s="48">
        <f>G8*H8</f>
        <v>1304818820</v>
      </c>
      <c r="J8" s="48">
        <f>F8+I8</f>
        <v>1900196020</v>
      </c>
    </row>
    <row r="9" spans="1:10" x14ac:dyDescent="0.25">
      <c r="A9" s="49"/>
      <c r="B9" s="185" t="s">
        <v>117</v>
      </c>
      <c r="C9" s="186"/>
      <c r="D9" s="48">
        <f>'PL05'!N10</f>
        <v>50.76</v>
      </c>
      <c r="E9" s="48">
        <f>'[2]DT KK2'!E11</f>
        <v>10126</v>
      </c>
      <c r="F9" s="48">
        <f>D9*E9</f>
        <v>513995.75999999995</v>
      </c>
      <c r="G9" s="48">
        <f>'PL05'!P10</f>
        <v>82.19</v>
      </c>
      <c r="H9" s="48">
        <f>'[2]DT KK2'!H11</f>
        <v>10126</v>
      </c>
      <c r="I9" s="48">
        <f>G9*H9</f>
        <v>832255.94</v>
      </c>
      <c r="J9" s="48">
        <f>F9+I9</f>
        <v>1346251.7</v>
      </c>
    </row>
    <row r="10" spans="1:10" x14ac:dyDescent="0.25">
      <c r="A10" s="51">
        <f>'[2]DT KK2'!A12</f>
        <v>2</v>
      </c>
      <c r="B10" s="52" t="str">
        <f>'[2]DT KK2'!B12</f>
        <v>Thị xã Hồng Lĩnh</v>
      </c>
      <c r="C10" s="52"/>
      <c r="D10" s="53"/>
      <c r="E10" s="53"/>
      <c r="F10" s="53"/>
      <c r="G10" s="53"/>
      <c r="H10" s="53"/>
      <c r="I10" s="53"/>
      <c r="J10" s="53">
        <f>SUM(J11:J12)</f>
        <v>250734500.97999999</v>
      </c>
    </row>
    <row r="11" spans="1:10" x14ac:dyDescent="0.25">
      <c r="A11" s="49"/>
      <c r="B11" s="185" t="s">
        <v>83</v>
      </c>
      <c r="C11" s="186"/>
      <c r="D11" s="48">
        <f>'PL05'!M11</f>
        <v>5916</v>
      </c>
      <c r="E11" s="48">
        <f>'[2]DT KK2'!E13</f>
        <v>25850</v>
      </c>
      <c r="F11" s="48">
        <f t="shared" ref="F11:F45" si="0">D11*E11</f>
        <v>152928600</v>
      </c>
      <c r="G11" s="48">
        <f>'PL05'!O11</f>
        <v>440</v>
      </c>
      <c r="H11" s="48">
        <f>'[2]DT KK2'!H13</f>
        <v>220854</v>
      </c>
      <c r="I11" s="48">
        <f t="shared" ref="I11:I45" si="1">G11*H11</f>
        <v>97175760</v>
      </c>
      <c r="J11" s="48">
        <f t="shared" ref="J11:J45" si="2">F11+I11</f>
        <v>250104360</v>
      </c>
    </row>
    <row r="12" spans="1:10" x14ac:dyDescent="0.25">
      <c r="A12" s="49"/>
      <c r="B12" s="185" t="s">
        <v>117</v>
      </c>
      <c r="C12" s="186"/>
      <c r="D12" s="48">
        <f>'PL05'!N11</f>
        <v>49.96</v>
      </c>
      <c r="E12" s="48">
        <f>'[2]DT KK2'!E14</f>
        <v>10126</v>
      </c>
      <c r="F12" s="48">
        <f t="shared" si="0"/>
        <v>505894.96</v>
      </c>
      <c r="G12" s="48">
        <f>'PL05'!P11</f>
        <v>12.27</v>
      </c>
      <c r="H12" s="48">
        <f>'[2]DT KK2'!H14</f>
        <v>10126</v>
      </c>
      <c r="I12" s="48">
        <f t="shared" si="1"/>
        <v>124246.01999999999</v>
      </c>
      <c r="J12" s="48">
        <f t="shared" si="2"/>
        <v>630140.98</v>
      </c>
    </row>
    <row r="13" spans="1:10" x14ac:dyDescent="0.25">
      <c r="A13" s="51">
        <v>3</v>
      </c>
      <c r="B13" s="52" t="s">
        <v>13</v>
      </c>
      <c r="C13" s="52"/>
      <c r="D13" s="53"/>
      <c r="E13" s="53"/>
      <c r="F13" s="53"/>
      <c r="G13" s="53"/>
      <c r="H13" s="53"/>
      <c r="I13" s="53"/>
      <c r="J13" s="53">
        <f>SUM(J14:J15)</f>
        <v>1544347504.0599999</v>
      </c>
    </row>
    <row r="14" spans="1:10" x14ac:dyDescent="0.25">
      <c r="A14" s="49"/>
      <c r="B14" s="185" t="s">
        <v>83</v>
      </c>
      <c r="C14" s="186"/>
      <c r="D14" s="48">
        <f>'PL05'!M12</f>
        <v>20400</v>
      </c>
      <c r="E14" s="48">
        <f>'[2]DT KK2'!E13</f>
        <v>25850</v>
      </c>
      <c r="F14" s="48">
        <f t="shared" ref="F14:F15" si="3">D14*E14</f>
        <v>527340000</v>
      </c>
      <c r="G14" s="48">
        <f>'PL05'!O12</f>
        <v>4596</v>
      </c>
      <c r="H14" s="48">
        <f>'[2]DT KK2'!H13</f>
        <v>220854</v>
      </c>
      <c r="I14" s="48">
        <f t="shared" ref="I14:I15" si="4">G14*H14</f>
        <v>1015044984</v>
      </c>
      <c r="J14" s="48">
        <f t="shared" ref="J14:J15" si="5">F14+I14</f>
        <v>1542384984</v>
      </c>
    </row>
    <row r="15" spans="1:10" x14ac:dyDescent="0.25">
      <c r="A15" s="49"/>
      <c r="B15" s="185" t="s">
        <v>117</v>
      </c>
      <c r="C15" s="186"/>
      <c r="D15" s="48">
        <f>'PL05'!N12</f>
        <v>140.21</v>
      </c>
      <c r="E15" s="48">
        <f>'[2]DT KK2'!E14</f>
        <v>10126</v>
      </c>
      <c r="F15" s="48">
        <f t="shared" si="3"/>
        <v>1419766.4600000002</v>
      </c>
      <c r="G15" s="48">
        <f>'PL05'!P12</f>
        <v>53.6</v>
      </c>
      <c r="H15" s="48">
        <f>'[2]DT KK2'!H14</f>
        <v>10126</v>
      </c>
      <c r="I15" s="48">
        <f t="shared" si="4"/>
        <v>542753.6</v>
      </c>
      <c r="J15" s="48">
        <f t="shared" si="5"/>
        <v>1962520.06</v>
      </c>
    </row>
    <row r="16" spans="1:10" x14ac:dyDescent="0.25">
      <c r="A16" s="51">
        <v>4</v>
      </c>
      <c r="B16" s="52" t="s">
        <v>14</v>
      </c>
      <c r="C16" s="52"/>
      <c r="D16" s="53"/>
      <c r="E16" s="53"/>
      <c r="F16" s="53"/>
      <c r="G16" s="53"/>
      <c r="H16" s="53"/>
      <c r="I16" s="53"/>
      <c r="J16" s="53">
        <f>SUM(J17:J18)</f>
        <v>2061802901.5999999</v>
      </c>
    </row>
    <row r="17" spans="1:10" x14ac:dyDescent="0.25">
      <c r="A17" s="49"/>
      <c r="B17" s="185" t="s">
        <v>83</v>
      </c>
      <c r="C17" s="186"/>
      <c r="D17" s="48">
        <f>'PL05'!M13</f>
        <v>8622</v>
      </c>
      <c r="E17" s="48">
        <f>'[2]DT KK2'!E16</f>
        <v>25850</v>
      </c>
      <c r="F17" s="48">
        <f t="shared" si="0"/>
        <v>222878700</v>
      </c>
      <c r="G17" s="48">
        <f>'PL05'!O13</f>
        <v>8259</v>
      </c>
      <c r="H17" s="48">
        <f>'[2]DT KK2'!H16</f>
        <v>222286</v>
      </c>
      <c r="I17" s="48">
        <f t="shared" si="1"/>
        <v>1835860074</v>
      </c>
      <c r="J17" s="48">
        <f t="shared" si="2"/>
        <v>2058738774</v>
      </c>
    </row>
    <row r="18" spans="1:10" x14ac:dyDescent="0.25">
      <c r="A18" s="49"/>
      <c r="B18" s="185" t="s">
        <v>117</v>
      </c>
      <c r="C18" s="186"/>
      <c r="D18" s="48">
        <f>'PL05'!N13</f>
        <v>12.84</v>
      </c>
      <c r="E18" s="48">
        <f>'[2]DT KK2'!E17</f>
        <v>10126</v>
      </c>
      <c r="F18" s="48">
        <f t="shared" si="0"/>
        <v>130017.84</v>
      </c>
      <c r="G18" s="48">
        <f>'PL05'!P13</f>
        <v>289.76</v>
      </c>
      <c r="H18" s="48">
        <f>'[2]DT KK2'!H17</f>
        <v>10126</v>
      </c>
      <c r="I18" s="48">
        <f t="shared" si="1"/>
        <v>2934109.76</v>
      </c>
      <c r="J18" s="48">
        <f t="shared" si="2"/>
        <v>3064127.5999999996</v>
      </c>
    </row>
    <row r="19" spans="1:10" x14ac:dyDescent="0.25">
      <c r="A19" s="51">
        <v>5</v>
      </c>
      <c r="B19" s="52" t="s">
        <v>15</v>
      </c>
      <c r="C19" s="52"/>
      <c r="D19" s="53"/>
      <c r="E19" s="53"/>
      <c r="F19" s="53"/>
      <c r="G19" s="53"/>
      <c r="H19" s="53"/>
      <c r="I19" s="53"/>
      <c r="J19" s="53">
        <f>SUM(J20:J21)</f>
        <v>2117204898.98</v>
      </c>
    </row>
    <row r="20" spans="1:10" x14ac:dyDescent="0.25">
      <c r="A20" s="49"/>
      <c r="B20" s="185" t="s">
        <v>83</v>
      </c>
      <c r="C20" s="186"/>
      <c r="D20" s="48">
        <f>'PL05'!M14</f>
        <v>10673</v>
      </c>
      <c r="E20" s="48">
        <f>'[2]DT KK2'!E19</f>
        <v>25850</v>
      </c>
      <c r="F20" s="48">
        <f t="shared" si="0"/>
        <v>275897050</v>
      </c>
      <c r="G20" s="48">
        <f>'PL05'!O14</f>
        <v>8329</v>
      </c>
      <c r="H20" s="48">
        <f>'[2]DT KK2'!H19</f>
        <v>220854</v>
      </c>
      <c r="I20" s="48">
        <f t="shared" si="1"/>
        <v>1839492966</v>
      </c>
      <c r="J20" s="48">
        <f t="shared" si="2"/>
        <v>2115390016</v>
      </c>
    </row>
    <row r="21" spans="1:10" x14ac:dyDescent="0.25">
      <c r="A21" s="49"/>
      <c r="B21" s="185" t="s">
        <v>117</v>
      </c>
      <c r="C21" s="186"/>
      <c r="D21" s="48">
        <f>'PL05'!N14</f>
        <v>132.41</v>
      </c>
      <c r="E21" s="48">
        <f>'[2]DT KK2'!E20</f>
        <v>10126</v>
      </c>
      <c r="F21" s="48">
        <f t="shared" si="0"/>
        <v>1340783.6599999999</v>
      </c>
      <c r="G21" s="48">
        <f>'PL05'!P14</f>
        <v>46.82</v>
      </c>
      <c r="H21" s="48">
        <f>'[2]DT KK2'!H20</f>
        <v>10126</v>
      </c>
      <c r="I21" s="48">
        <f t="shared" si="1"/>
        <v>474099.32</v>
      </c>
      <c r="J21" s="48">
        <f t="shared" si="2"/>
        <v>1814882.98</v>
      </c>
    </row>
    <row r="22" spans="1:10" x14ac:dyDescent="0.25">
      <c r="A22" s="51">
        <v>6</v>
      </c>
      <c r="B22" s="52" t="s">
        <v>19</v>
      </c>
      <c r="C22" s="52"/>
      <c r="D22" s="53"/>
      <c r="E22" s="53"/>
      <c r="F22" s="53"/>
      <c r="G22" s="53"/>
      <c r="H22" s="53"/>
      <c r="I22" s="53"/>
      <c r="J22" s="53">
        <f>SUM(J23:J24)</f>
        <v>849130459.08000004</v>
      </c>
    </row>
    <row r="23" spans="1:10" x14ac:dyDescent="0.25">
      <c r="A23" s="49"/>
      <c r="B23" s="185" t="s">
        <v>83</v>
      </c>
      <c r="C23" s="186"/>
      <c r="D23" s="48">
        <f>'PL05'!M15</f>
        <v>6950</v>
      </c>
      <c r="E23" s="48">
        <f>'[2]DT KK2'!E22</f>
        <v>25850</v>
      </c>
      <c r="F23" s="48">
        <f t="shared" si="0"/>
        <v>179657500</v>
      </c>
      <c r="G23" s="48">
        <f>'PL05'!O15</f>
        <v>3011</v>
      </c>
      <c r="H23" s="48">
        <f>'[2]DT KK2'!H22</f>
        <v>220854</v>
      </c>
      <c r="I23" s="48">
        <f t="shared" si="1"/>
        <v>664991394</v>
      </c>
      <c r="J23" s="48">
        <f t="shared" si="2"/>
        <v>844648894</v>
      </c>
    </row>
    <row r="24" spans="1:10" x14ac:dyDescent="0.25">
      <c r="A24" s="49"/>
      <c r="B24" s="185" t="s">
        <v>117</v>
      </c>
      <c r="C24" s="186"/>
      <c r="D24" s="48">
        <f>'PL05'!N15</f>
        <v>227.66</v>
      </c>
      <c r="E24" s="48">
        <f>'[2]DT KK2'!E23</f>
        <v>10126</v>
      </c>
      <c r="F24" s="48">
        <f t="shared" si="0"/>
        <v>2305285.16</v>
      </c>
      <c r="G24" s="48">
        <f>'PL05'!P15</f>
        <v>214.92</v>
      </c>
      <c r="H24" s="48">
        <f>'[2]DT KK2'!H23</f>
        <v>10126</v>
      </c>
      <c r="I24" s="48">
        <f t="shared" si="1"/>
        <v>2176279.92</v>
      </c>
      <c r="J24" s="48">
        <f t="shared" si="2"/>
        <v>4481565.08</v>
      </c>
    </row>
    <row r="25" spans="1:10" x14ac:dyDescent="0.25">
      <c r="A25" s="51">
        <v>7</v>
      </c>
      <c r="B25" s="52" t="s">
        <v>18</v>
      </c>
      <c r="C25" s="52"/>
      <c r="D25" s="53"/>
      <c r="E25" s="53"/>
      <c r="F25" s="53"/>
      <c r="G25" s="53"/>
      <c r="H25" s="53"/>
      <c r="I25" s="53"/>
      <c r="J25" s="53">
        <f>SUM(J26:J27)</f>
        <v>887136111.72000003</v>
      </c>
    </row>
    <row r="26" spans="1:10" x14ac:dyDescent="0.25">
      <c r="A26" s="49"/>
      <c r="B26" s="185" t="s">
        <v>83</v>
      </c>
      <c r="C26" s="186"/>
      <c r="D26" s="48">
        <f>'PL05'!M16</f>
        <v>8117</v>
      </c>
      <c r="E26" s="48">
        <f>'[2]DT KK2'!E25</f>
        <v>25850</v>
      </c>
      <c r="F26" s="48">
        <f t="shared" si="0"/>
        <v>209824450</v>
      </c>
      <c r="G26" s="48">
        <f>'PL05'!O16</f>
        <v>3056</v>
      </c>
      <c r="H26" s="48">
        <f>'[2]DT KK2'!H25</f>
        <v>220854</v>
      </c>
      <c r="I26" s="48">
        <f t="shared" si="1"/>
        <v>674929824</v>
      </c>
      <c r="J26" s="48">
        <f t="shared" si="2"/>
        <v>884754274</v>
      </c>
    </row>
    <row r="27" spans="1:10" x14ac:dyDescent="0.25">
      <c r="A27" s="49"/>
      <c r="B27" s="185" t="s">
        <v>117</v>
      </c>
      <c r="C27" s="186"/>
      <c r="D27" s="48">
        <f>'PL05'!N16</f>
        <v>65.36</v>
      </c>
      <c r="E27" s="48">
        <f>'[2]DT KK2'!E26</f>
        <v>10126</v>
      </c>
      <c r="F27" s="48">
        <f t="shared" si="0"/>
        <v>661835.36</v>
      </c>
      <c r="G27" s="48">
        <f>'PL05'!P16</f>
        <v>169.86</v>
      </c>
      <c r="H27" s="48">
        <f>'[2]DT KK2'!H26</f>
        <v>10126</v>
      </c>
      <c r="I27" s="48">
        <f t="shared" si="1"/>
        <v>1720002.36</v>
      </c>
      <c r="J27" s="48">
        <f t="shared" si="2"/>
        <v>2381837.7200000002</v>
      </c>
    </row>
    <row r="28" spans="1:10" x14ac:dyDescent="0.25">
      <c r="A28" s="51">
        <v>8</v>
      </c>
      <c r="B28" s="52" t="s">
        <v>16</v>
      </c>
      <c r="C28" s="52"/>
      <c r="D28" s="53"/>
      <c r="E28" s="53"/>
      <c r="F28" s="53"/>
      <c r="G28" s="53"/>
      <c r="H28" s="53"/>
      <c r="I28" s="53"/>
      <c r="J28" s="53">
        <f>SUM(J29:J30)</f>
        <v>3816286875.7600002</v>
      </c>
    </row>
    <row r="29" spans="1:10" x14ac:dyDescent="0.25">
      <c r="A29" s="49"/>
      <c r="B29" s="185" t="s">
        <v>83</v>
      </c>
      <c r="C29" s="186"/>
      <c r="D29" s="48">
        <f>'PL05'!M17</f>
        <v>14626</v>
      </c>
      <c r="E29" s="48">
        <f>'[2]DT KK2'!E28</f>
        <v>25850</v>
      </c>
      <c r="F29" s="48">
        <f t="shared" si="0"/>
        <v>378082100</v>
      </c>
      <c r="G29" s="48">
        <f>'PL05'!O17</f>
        <v>15556</v>
      </c>
      <c r="H29" s="48">
        <f>'[2]DT KK2'!H28</f>
        <v>220854</v>
      </c>
      <c r="I29" s="48">
        <f t="shared" si="1"/>
        <v>3435604824</v>
      </c>
      <c r="J29" s="48">
        <f t="shared" si="2"/>
        <v>3813686924</v>
      </c>
    </row>
    <row r="30" spans="1:10" x14ac:dyDescent="0.25">
      <c r="A30" s="49"/>
      <c r="B30" s="185" t="s">
        <v>117</v>
      </c>
      <c r="C30" s="186"/>
      <c r="D30" s="48">
        <f>'PL05'!N17</f>
        <v>8.25</v>
      </c>
      <c r="E30" s="48">
        <f>'[2]DT KK2'!E29</f>
        <v>10126</v>
      </c>
      <c r="F30" s="48">
        <f t="shared" si="0"/>
        <v>83539.5</v>
      </c>
      <c r="G30" s="48">
        <f>'PL05'!P17</f>
        <v>248.51</v>
      </c>
      <c r="H30" s="48">
        <f>'[2]DT KK2'!H29</f>
        <v>10126</v>
      </c>
      <c r="I30" s="48">
        <f t="shared" si="1"/>
        <v>2516412.2599999998</v>
      </c>
      <c r="J30" s="48">
        <f t="shared" si="2"/>
        <v>2599951.7599999998</v>
      </c>
    </row>
    <row r="31" spans="1:10" x14ac:dyDescent="0.25">
      <c r="A31" s="51">
        <v>9</v>
      </c>
      <c r="B31" s="52" t="s">
        <v>17</v>
      </c>
      <c r="C31" s="52"/>
      <c r="D31" s="53"/>
      <c r="E31" s="53"/>
      <c r="F31" s="53"/>
      <c r="G31" s="53"/>
      <c r="H31" s="53"/>
      <c r="I31" s="53"/>
      <c r="J31" s="53">
        <f>SUM(J32:J33)</f>
        <v>1135804464.9000001</v>
      </c>
    </row>
    <row r="32" spans="1:10" x14ac:dyDescent="0.25">
      <c r="A32" s="49"/>
      <c r="B32" s="185" t="s">
        <v>83</v>
      </c>
      <c r="C32" s="186"/>
      <c r="D32" s="48">
        <f>'PL05'!M18</f>
        <v>20806</v>
      </c>
      <c r="E32" s="48">
        <f>'[2]DT KK2'!E31</f>
        <v>25850</v>
      </c>
      <c r="F32" s="48">
        <f t="shared" si="0"/>
        <v>537835100</v>
      </c>
      <c r="G32" s="48">
        <f>'PL05'!O18</f>
        <v>2694</v>
      </c>
      <c r="H32" s="48">
        <f>'[2]DT KK2'!H31</f>
        <v>220854</v>
      </c>
      <c r="I32" s="48">
        <f t="shared" si="1"/>
        <v>594980676</v>
      </c>
      <c r="J32" s="48">
        <f t="shared" si="2"/>
        <v>1132815776</v>
      </c>
    </row>
    <row r="33" spans="1:24" x14ac:dyDescent="0.25">
      <c r="A33" s="49"/>
      <c r="B33" s="185" t="s">
        <v>117</v>
      </c>
      <c r="C33" s="186"/>
      <c r="D33" s="48">
        <f>'PL05'!N18</f>
        <v>242.62</v>
      </c>
      <c r="E33" s="48">
        <f>'[2]DT KK2'!E32</f>
        <v>10126</v>
      </c>
      <c r="F33" s="48">
        <f t="shared" si="0"/>
        <v>2456770.12</v>
      </c>
      <c r="G33" s="48">
        <f>'PL05'!P18</f>
        <v>52.53</v>
      </c>
      <c r="H33" s="48">
        <f>'[2]DT KK2'!H32</f>
        <v>10126</v>
      </c>
      <c r="I33" s="48">
        <f t="shared" si="1"/>
        <v>531918.78</v>
      </c>
      <c r="J33" s="48">
        <f t="shared" si="2"/>
        <v>2988688.9000000004</v>
      </c>
    </row>
    <row r="34" spans="1:24" x14ac:dyDescent="0.25">
      <c r="A34" s="51">
        <v>10</v>
      </c>
      <c r="B34" s="52" t="s">
        <v>20</v>
      </c>
      <c r="C34" s="52"/>
      <c r="D34" s="53"/>
      <c r="E34" s="53"/>
      <c r="F34" s="53"/>
      <c r="G34" s="53"/>
      <c r="H34" s="53"/>
      <c r="I34" s="53"/>
      <c r="J34" s="53">
        <f>SUM(J35:J36)</f>
        <v>5832098529.04</v>
      </c>
    </row>
    <row r="35" spans="1:24" x14ac:dyDescent="0.25">
      <c r="A35" s="49"/>
      <c r="B35" s="185" t="s">
        <v>83</v>
      </c>
      <c r="C35" s="186"/>
      <c r="D35" s="48">
        <f>'PL05'!M19</f>
        <v>35070</v>
      </c>
      <c r="E35" s="48">
        <f>'[2]DT KK2'!E34</f>
        <v>25850</v>
      </c>
      <c r="F35" s="48">
        <f>D35*E35</f>
        <v>906559500</v>
      </c>
      <c r="G35" s="48">
        <f>'PL05'!O19</f>
        <v>22227</v>
      </c>
      <c r="H35" s="48">
        <f>'[2]DT KK2'!H34</f>
        <v>220854</v>
      </c>
      <c r="I35" s="48">
        <f>G35*H35</f>
        <v>4908921858</v>
      </c>
      <c r="J35" s="48">
        <f t="shared" si="2"/>
        <v>5815481358</v>
      </c>
    </row>
    <row r="36" spans="1:24" x14ac:dyDescent="0.25">
      <c r="A36" s="49"/>
      <c r="B36" s="185" t="s">
        <v>117</v>
      </c>
      <c r="C36" s="186"/>
      <c r="D36" s="48">
        <f>'PL05'!N19</f>
        <v>468.01</v>
      </c>
      <c r="E36" s="48">
        <f>'[2]DT KK2'!E35</f>
        <v>10126</v>
      </c>
      <c r="F36" s="48">
        <f>D36*E36</f>
        <v>4739069.26</v>
      </c>
      <c r="G36" s="48">
        <f>'PL05'!P19</f>
        <v>1173.03</v>
      </c>
      <c r="H36" s="48">
        <f>'[2]DT KK2'!H35</f>
        <v>10126</v>
      </c>
      <c r="I36" s="48">
        <f>G36*H36</f>
        <v>11878101.779999999</v>
      </c>
      <c r="J36" s="48">
        <f t="shared" si="2"/>
        <v>16617171.039999999</v>
      </c>
    </row>
    <row r="37" spans="1:24" x14ac:dyDescent="0.25">
      <c r="A37" s="51">
        <v>11</v>
      </c>
      <c r="B37" s="52" t="s">
        <v>21</v>
      </c>
      <c r="C37" s="52"/>
      <c r="D37" s="53"/>
      <c r="E37" s="53"/>
      <c r="F37" s="53"/>
      <c r="G37" s="53"/>
      <c r="H37" s="53"/>
      <c r="I37" s="53"/>
      <c r="J37" s="53">
        <f>SUM(J38:J39)</f>
        <v>2743852252.4400001</v>
      </c>
    </row>
    <row r="38" spans="1:24" x14ac:dyDescent="0.25">
      <c r="A38" s="49"/>
      <c r="B38" s="185" t="s">
        <v>83</v>
      </c>
      <c r="C38" s="186"/>
      <c r="D38" s="48">
        <f>'PL05'!M20</f>
        <v>31300</v>
      </c>
      <c r="E38" s="48">
        <f>'[2]DT KK2'!E37</f>
        <v>25850</v>
      </c>
      <c r="F38" s="48">
        <f t="shared" si="0"/>
        <v>809105000</v>
      </c>
      <c r="G38" s="48">
        <f>'PL05'!O20</f>
        <v>8741</v>
      </c>
      <c r="H38" s="48">
        <f>'[2]DT KK2'!H37</f>
        <v>220854</v>
      </c>
      <c r="I38" s="48">
        <f t="shared" si="1"/>
        <v>1930484814</v>
      </c>
      <c r="J38" s="48">
        <f t="shared" si="2"/>
        <v>2739589814</v>
      </c>
    </row>
    <row r="39" spans="1:24" x14ac:dyDescent="0.25">
      <c r="A39" s="49"/>
      <c r="B39" s="185" t="s">
        <v>117</v>
      </c>
      <c r="C39" s="186"/>
      <c r="D39" s="48">
        <f>'PL05'!N20</f>
        <v>17.899999999999999</v>
      </c>
      <c r="E39" s="48">
        <f>'[2]DT KK2'!E38</f>
        <v>10126</v>
      </c>
      <c r="F39" s="48">
        <f t="shared" si="0"/>
        <v>181255.4</v>
      </c>
      <c r="G39" s="48">
        <f>'PL05'!P20</f>
        <v>403.04</v>
      </c>
      <c r="H39" s="48">
        <f>'[2]DT KK2'!H38</f>
        <v>10126</v>
      </c>
      <c r="I39" s="48">
        <f t="shared" si="1"/>
        <v>4081183.04</v>
      </c>
      <c r="J39" s="48">
        <f t="shared" si="2"/>
        <v>4262438.4400000004</v>
      </c>
    </row>
    <row r="40" spans="1:24" x14ac:dyDescent="0.25">
      <c r="A40" s="51">
        <v>12</v>
      </c>
      <c r="B40" s="52" t="s">
        <v>22</v>
      </c>
      <c r="C40" s="52"/>
      <c r="D40" s="53"/>
      <c r="E40" s="53"/>
      <c r="F40" s="53"/>
      <c r="G40" s="53"/>
      <c r="H40" s="53"/>
      <c r="I40" s="53"/>
      <c r="J40" s="53">
        <f>SUM(J41:J42)</f>
        <v>3893333405.3000002</v>
      </c>
    </row>
    <row r="41" spans="1:24" x14ac:dyDescent="0.25">
      <c r="A41" s="49"/>
      <c r="B41" s="185" t="s">
        <v>83</v>
      </c>
      <c r="C41" s="186"/>
      <c r="D41" s="48">
        <f>'PL05'!M21</f>
        <v>17174</v>
      </c>
      <c r="E41" s="48">
        <f>'[2]DT KK2'!E40</f>
        <v>25850</v>
      </c>
      <c r="F41" s="48">
        <f t="shared" si="0"/>
        <v>443947900</v>
      </c>
      <c r="G41" s="48">
        <f>'PL05'!O21</f>
        <v>15591</v>
      </c>
      <c r="H41" s="48">
        <f>'[2]DT KK2'!H40</f>
        <v>220854</v>
      </c>
      <c r="I41" s="48">
        <f t="shared" si="1"/>
        <v>3443334714</v>
      </c>
      <c r="J41" s="48">
        <f t="shared" si="2"/>
        <v>3887282614</v>
      </c>
    </row>
    <row r="42" spans="1:24" x14ac:dyDescent="0.25">
      <c r="A42" s="49"/>
      <c r="B42" s="185" t="s">
        <v>117</v>
      </c>
      <c r="C42" s="186"/>
      <c r="D42" s="48">
        <f>'PL05'!N21</f>
        <v>284.41000000000003</v>
      </c>
      <c r="E42" s="48">
        <f>'[2]DT KK2'!E41</f>
        <v>10126</v>
      </c>
      <c r="F42" s="48">
        <f t="shared" si="0"/>
        <v>2879935.66</v>
      </c>
      <c r="G42" s="48">
        <f>'PL05'!P21</f>
        <v>313.14</v>
      </c>
      <c r="H42" s="48">
        <f>'[2]DT KK2'!H41</f>
        <v>10126</v>
      </c>
      <c r="I42" s="48">
        <f t="shared" si="1"/>
        <v>3170855.6399999997</v>
      </c>
      <c r="J42" s="48">
        <f t="shared" si="2"/>
        <v>6050791.2999999998</v>
      </c>
    </row>
    <row r="43" spans="1:24" x14ac:dyDescent="0.25">
      <c r="A43" s="51">
        <f>'[2]DT KK2'!A45</f>
        <v>13</v>
      </c>
      <c r="B43" s="52" t="s">
        <v>10</v>
      </c>
      <c r="C43" s="52"/>
      <c r="D43" s="53"/>
      <c r="E43" s="53"/>
      <c r="F43" s="53"/>
      <c r="G43" s="53"/>
      <c r="H43" s="53"/>
      <c r="I43" s="53"/>
      <c r="J43" s="53">
        <f>SUM(J44:J45)</f>
        <v>331371891.51999998</v>
      </c>
    </row>
    <row r="44" spans="1:24" x14ac:dyDescent="0.25">
      <c r="A44" s="49"/>
      <c r="B44" s="185" t="s">
        <v>83</v>
      </c>
      <c r="C44" s="186"/>
      <c r="D44" s="48">
        <f>'PL05'!M22</f>
        <v>7579</v>
      </c>
      <c r="E44" s="48">
        <f>'[2]DT KK2'!E46</f>
        <v>25850</v>
      </c>
      <c r="F44" s="48">
        <f t="shared" si="0"/>
        <v>195917150</v>
      </c>
      <c r="G44" s="48">
        <f>'PL05'!O22</f>
        <v>605</v>
      </c>
      <c r="H44" s="48">
        <f>'[2]DT KK2'!H46</f>
        <v>220854</v>
      </c>
      <c r="I44" s="48">
        <f t="shared" si="1"/>
        <v>133616670</v>
      </c>
      <c r="J44" s="48">
        <f t="shared" si="2"/>
        <v>329533820</v>
      </c>
    </row>
    <row r="45" spans="1:24" x14ac:dyDescent="0.25">
      <c r="A45" s="49"/>
      <c r="B45" s="185" t="s">
        <v>117</v>
      </c>
      <c r="C45" s="186"/>
      <c r="D45" s="48">
        <f>'PL05'!N22</f>
        <v>66.75</v>
      </c>
      <c r="E45" s="48">
        <f>'[2]DT KK2'!E47</f>
        <v>10126</v>
      </c>
      <c r="F45" s="48">
        <f t="shared" si="0"/>
        <v>675910.5</v>
      </c>
      <c r="G45" s="48">
        <f>'PL05'!P22</f>
        <v>114.77</v>
      </c>
      <c r="H45" s="48">
        <f>'[2]DT KK2'!H47</f>
        <v>10126</v>
      </c>
      <c r="I45" s="48">
        <f t="shared" si="1"/>
        <v>1162161.02</v>
      </c>
      <c r="J45" s="48">
        <f t="shared" si="2"/>
        <v>1838071.52</v>
      </c>
    </row>
    <row r="46" spans="1:24" s="123" customFormat="1" ht="18.75" customHeight="1" x14ac:dyDescent="0.25">
      <c r="A46" s="182" t="str">
        <f>'[2]DT KK2'!A48</f>
        <v>Tổng trước thuế</v>
      </c>
      <c r="B46" s="183"/>
      <c r="C46" s="184"/>
      <c r="D46" s="121"/>
      <c r="E46" s="121"/>
      <c r="F46" s="121"/>
      <c r="G46" s="121"/>
      <c r="H46" s="121"/>
      <c r="I46" s="121"/>
      <c r="J46" s="121">
        <f>J7+J10+J13+J16+J19+J22+J25+J28+J31+J34+J37+J40+J43</f>
        <v>27364646067.079998</v>
      </c>
      <c r="K46" s="122"/>
      <c r="L46" s="122"/>
      <c r="M46" s="122"/>
      <c r="N46" s="122"/>
      <c r="O46" s="122"/>
      <c r="P46" s="122"/>
      <c r="Q46" s="122"/>
      <c r="R46" s="122"/>
      <c r="S46" s="122"/>
      <c r="T46" s="122"/>
      <c r="U46" s="122"/>
      <c r="V46" s="122"/>
      <c r="W46" s="122"/>
      <c r="X46" s="122"/>
    </row>
    <row r="47" spans="1:24" s="123" customFormat="1" ht="18.75" customHeight="1" x14ac:dyDescent="0.25">
      <c r="A47" s="182" t="s">
        <v>166</v>
      </c>
      <c r="B47" s="183"/>
      <c r="C47" s="184"/>
      <c r="D47" s="121"/>
      <c r="E47" s="121"/>
      <c r="F47" s="121"/>
      <c r="G47" s="121"/>
      <c r="H47" s="121"/>
      <c r="I47" s="121"/>
      <c r="J47" s="121">
        <f>(J46-(J46*0.1))</f>
        <v>24628181460.371998</v>
      </c>
      <c r="K47" s="122"/>
      <c r="L47" s="122"/>
      <c r="M47" s="122"/>
      <c r="N47" s="122"/>
      <c r="O47" s="122"/>
      <c r="P47" s="122"/>
      <c r="Q47" s="122"/>
      <c r="R47" s="122"/>
      <c r="S47" s="122"/>
      <c r="T47" s="122"/>
      <c r="U47" s="122"/>
      <c r="V47" s="122"/>
      <c r="W47" s="122"/>
      <c r="X47" s="122"/>
    </row>
    <row r="48" spans="1:24" s="123" customFormat="1" ht="18.75" customHeight="1" x14ac:dyDescent="0.25">
      <c r="A48" s="182" t="str">
        <f>'[2]DT KK2'!A49</f>
        <v>Thuế GTGT (10%)</v>
      </c>
      <c r="B48" s="183"/>
      <c r="C48" s="184"/>
      <c r="D48" s="121"/>
      <c r="E48" s="121"/>
      <c r="F48" s="121"/>
      <c r="G48" s="121"/>
      <c r="H48" s="121"/>
      <c r="I48" s="121"/>
      <c r="J48" s="121">
        <f>J47*0.1</f>
        <v>2462818146.0372</v>
      </c>
      <c r="K48" s="122"/>
      <c r="L48" s="122"/>
      <c r="M48" s="122"/>
      <c r="N48" s="122"/>
      <c r="O48" s="122"/>
      <c r="P48" s="122"/>
      <c r="Q48" s="122"/>
      <c r="R48" s="122"/>
      <c r="S48" s="122"/>
      <c r="T48" s="122"/>
      <c r="U48" s="122"/>
      <c r="V48" s="122"/>
      <c r="W48" s="122"/>
      <c r="X48" s="122"/>
    </row>
    <row r="49" spans="1:24" s="126" customFormat="1" ht="18.75" customHeight="1" x14ac:dyDescent="0.25">
      <c r="A49" s="182" t="str">
        <f>'[2]DT KK2'!A50</f>
        <v>Tổng sau thuế (làm tròn)</v>
      </c>
      <c r="B49" s="183"/>
      <c r="C49" s="184"/>
      <c r="D49" s="124"/>
      <c r="E49" s="124"/>
      <c r="F49" s="124"/>
      <c r="G49" s="124"/>
      <c r="H49" s="124"/>
      <c r="I49" s="124"/>
      <c r="J49" s="121">
        <f>ROUNDDOWN((J47+J48),-6)</f>
        <v>27090000000</v>
      </c>
      <c r="K49" s="125"/>
      <c r="L49" s="125"/>
      <c r="M49" s="125"/>
      <c r="N49" s="125"/>
      <c r="O49" s="125"/>
      <c r="P49" s="125"/>
      <c r="Q49" s="125"/>
      <c r="R49" s="125"/>
      <c r="S49" s="125"/>
      <c r="T49" s="125"/>
      <c r="U49" s="125"/>
      <c r="V49" s="125"/>
      <c r="W49" s="125"/>
      <c r="X49" s="125"/>
    </row>
  </sheetData>
  <mergeCells count="38">
    <mergeCell ref="A47:C47"/>
    <mergeCell ref="J4:J6"/>
    <mergeCell ref="B44:C44"/>
    <mergeCell ref="B45:C45"/>
    <mergeCell ref="B38:C38"/>
    <mergeCell ref="B39:C39"/>
    <mergeCell ref="B41:C41"/>
    <mergeCell ref="B42:C42"/>
    <mergeCell ref="B32:C32"/>
    <mergeCell ref="B33:C33"/>
    <mergeCell ref="B35:C35"/>
    <mergeCell ref="B36:C36"/>
    <mergeCell ref="B26:C26"/>
    <mergeCell ref="B27:C27"/>
    <mergeCell ref="B29:C29"/>
    <mergeCell ref="B12:C12"/>
    <mergeCell ref="A4:A6"/>
    <mergeCell ref="D4:I4"/>
    <mergeCell ref="D5:F5"/>
    <mergeCell ref="G5:I5"/>
    <mergeCell ref="B14:C14"/>
    <mergeCell ref="B15:C15"/>
    <mergeCell ref="A1:J1"/>
    <mergeCell ref="A2:J2"/>
    <mergeCell ref="A46:C46"/>
    <mergeCell ref="A48:C48"/>
    <mergeCell ref="A49:C49"/>
    <mergeCell ref="B8:C8"/>
    <mergeCell ref="B9:C9"/>
    <mergeCell ref="B30:C30"/>
    <mergeCell ref="B20:C20"/>
    <mergeCell ref="B21:C21"/>
    <mergeCell ref="B23:C23"/>
    <mergeCell ref="B24:C24"/>
    <mergeCell ref="B17:C17"/>
    <mergeCell ref="B18:C18"/>
    <mergeCell ref="B4:C6"/>
    <mergeCell ref="B11:C11"/>
  </mergeCells>
  <printOptions horizontalCentered="1"/>
  <pageMargins left="0.70866141732283472" right="0.70866141732283472" top="0.51181102362204722" bottom="0.51181102362204722" header="0.31496062992125984" footer="0.31496062992125984"/>
  <pageSetup paperSize="9" firstPageNumber="38" orientation="landscape"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J24" sqref="J24"/>
    </sheetView>
  </sheetViews>
  <sheetFormatPr defaultRowHeight="15.75" x14ac:dyDescent="0.25"/>
  <cols>
    <col min="1" max="1" width="4" customWidth="1"/>
    <col min="3" max="3" width="12.75" customWidth="1"/>
    <col min="4" max="4" width="12.25" customWidth="1"/>
    <col min="5" max="5" width="10.5" customWidth="1"/>
    <col min="6" max="6" width="14.5" customWidth="1"/>
    <col min="7" max="7" width="11" customWidth="1"/>
    <col min="8" max="8" width="11.875" customWidth="1"/>
    <col min="9" max="9" width="15" customWidth="1"/>
    <col min="10" max="10" width="18" customWidth="1"/>
  </cols>
  <sheetData>
    <row r="1" spans="1:10" x14ac:dyDescent="0.25">
      <c r="A1" s="148" t="s">
        <v>223</v>
      </c>
      <c r="B1" s="148"/>
      <c r="C1" s="148"/>
      <c r="D1" s="148"/>
      <c r="E1" s="148"/>
      <c r="F1" s="148"/>
      <c r="G1" s="148"/>
      <c r="H1" s="148"/>
      <c r="I1" s="148"/>
      <c r="J1" s="148"/>
    </row>
    <row r="2" spans="1:10" x14ac:dyDescent="0.25">
      <c r="A2" s="181" t="s">
        <v>165</v>
      </c>
      <c r="B2" s="181"/>
      <c r="C2" s="181"/>
      <c r="D2" s="181"/>
      <c r="E2" s="181"/>
      <c r="F2" s="181"/>
      <c r="G2" s="181"/>
      <c r="H2" s="181"/>
      <c r="I2" s="181"/>
      <c r="J2" s="181"/>
    </row>
    <row r="3" spans="1:10" ht="5.25" customHeight="1" x14ac:dyDescent="0.25">
      <c r="A3" s="46"/>
      <c r="B3" s="46"/>
      <c r="C3" s="46"/>
      <c r="D3" s="47"/>
      <c r="E3" s="47"/>
      <c r="F3" s="47"/>
      <c r="G3" s="47"/>
      <c r="H3" s="47"/>
      <c r="I3" s="47"/>
      <c r="J3" s="47"/>
    </row>
    <row r="4" spans="1:10" ht="15.75" customHeight="1" x14ac:dyDescent="0.25">
      <c r="A4" s="193" t="s">
        <v>1</v>
      </c>
      <c r="B4" s="211" t="s">
        <v>2</v>
      </c>
      <c r="C4" s="212"/>
      <c r="D4" s="196" t="s">
        <v>147</v>
      </c>
      <c r="E4" s="197"/>
      <c r="F4" s="197"/>
      <c r="G4" s="197"/>
      <c r="H4" s="197"/>
      <c r="I4" s="198"/>
      <c r="J4" s="199" t="s">
        <v>95</v>
      </c>
    </row>
    <row r="5" spans="1:10" x14ac:dyDescent="0.25">
      <c r="A5" s="194"/>
      <c r="B5" s="213"/>
      <c r="C5" s="214"/>
      <c r="D5" s="205" t="s">
        <v>148</v>
      </c>
      <c r="E5" s="205"/>
      <c r="F5" s="205"/>
      <c r="G5" s="197" t="s">
        <v>149</v>
      </c>
      <c r="H5" s="197"/>
      <c r="I5" s="198"/>
      <c r="J5" s="200"/>
    </row>
    <row r="6" spans="1:10" ht="38.25" customHeight="1" x14ac:dyDescent="0.25">
      <c r="A6" s="195"/>
      <c r="B6" s="215"/>
      <c r="C6" s="216"/>
      <c r="D6" s="45" t="s">
        <v>225</v>
      </c>
      <c r="E6" s="45" t="s">
        <v>226</v>
      </c>
      <c r="F6" s="45" t="s">
        <v>227</v>
      </c>
      <c r="G6" s="132" t="s">
        <v>225</v>
      </c>
      <c r="H6" s="132" t="s">
        <v>226</v>
      </c>
      <c r="I6" s="132" t="s">
        <v>227</v>
      </c>
      <c r="J6" s="201"/>
    </row>
    <row r="7" spans="1:10" ht="20.100000000000001" customHeight="1" x14ac:dyDescent="0.25">
      <c r="A7" s="70">
        <v>1</v>
      </c>
      <c r="B7" s="209" t="s">
        <v>11</v>
      </c>
      <c r="C7" s="210"/>
      <c r="D7" s="48">
        <f>'PL08'!K9</f>
        <v>5760</v>
      </c>
      <c r="E7" s="48">
        <v>87032</v>
      </c>
      <c r="F7" s="48">
        <f>D7*E7</f>
        <v>501304320</v>
      </c>
      <c r="G7" s="48">
        <f>'PL08'!L9</f>
        <v>1261</v>
      </c>
      <c r="H7" s="48">
        <v>513971</v>
      </c>
      <c r="I7" s="48">
        <f>G7*H7</f>
        <v>648117431</v>
      </c>
      <c r="J7" s="48">
        <f>F7+I7</f>
        <v>1149421751</v>
      </c>
    </row>
    <row r="8" spans="1:10" ht="20.100000000000001" customHeight="1" x14ac:dyDescent="0.25">
      <c r="A8" s="70">
        <v>2</v>
      </c>
      <c r="B8" s="209" t="s">
        <v>12</v>
      </c>
      <c r="C8" s="210"/>
      <c r="D8" s="48">
        <f>'PL08'!K10</f>
        <v>874</v>
      </c>
      <c r="E8" s="48">
        <f>E7</f>
        <v>87032</v>
      </c>
      <c r="F8" s="48">
        <f t="shared" ref="F8:F18" si="0">D8*E8</f>
        <v>76065968</v>
      </c>
      <c r="G8" s="48">
        <f>'PL08'!L10</f>
        <v>422</v>
      </c>
      <c r="H8" s="48">
        <f>H7</f>
        <v>513971</v>
      </c>
      <c r="I8" s="48">
        <f t="shared" ref="I8:I18" si="1">G8*H8</f>
        <v>216895762</v>
      </c>
      <c r="J8" s="48">
        <f t="shared" ref="J8:J18" si="2">F8+I8</f>
        <v>292961730</v>
      </c>
    </row>
    <row r="9" spans="1:10" ht="20.100000000000001" customHeight="1" x14ac:dyDescent="0.25">
      <c r="A9" s="70">
        <v>3</v>
      </c>
      <c r="B9" s="209" t="s">
        <v>13</v>
      </c>
      <c r="C9" s="210"/>
      <c r="D9" s="48">
        <v>3338</v>
      </c>
      <c r="E9" s="48">
        <f>E8</f>
        <v>87032</v>
      </c>
      <c r="F9" s="48">
        <f t="shared" ref="F9:F16" si="3">D9*E9</f>
        <v>290512816</v>
      </c>
      <c r="G9" s="48">
        <v>1231</v>
      </c>
      <c r="H9" s="48">
        <f>H8</f>
        <v>513971</v>
      </c>
      <c r="I9" s="48">
        <f t="shared" ref="I9:I16" si="4">G9*H9</f>
        <v>632698301</v>
      </c>
      <c r="J9" s="48">
        <f t="shared" ref="J9:J16" si="5">F9+I9</f>
        <v>923211117</v>
      </c>
    </row>
    <row r="10" spans="1:10" ht="20.100000000000001" customHeight="1" x14ac:dyDescent="0.25">
      <c r="A10" s="70">
        <v>4</v>
      </c>
      <c r="B10" s="209" t="s">
        <v>14</v>
      </c>
      <c r="C10" s="210"/>
      <c r="D10" s="48">
        <v>2470</v>
      </c>
      <c r="E10" s="48">
        <f>E9</f>
        <v>87032</v>
      </c>
      <c r="F10" s="48">
        <f t="shared" si="3"/>
        <v>214969040</v>
      </c>
      <c r="G10" s="48">
        <v>1070</v>
      </c>
      <c r="H10" s="48">
        <f>H9</f>
        <v>513971</v>
      </c>
      <c r="I10" s="48">
        <f t="shared" si="4"/>
        <v>549948970</v>
      </c>
      <c r="J10" s="48">
        <f t="shared" si="5"/>
        <v>764918010</v>
      </c>
    </row>
    <row r="11" spans="1:10" ht="20.100000000000001" customHeight="1" x14ac:dyDescent="0.25">
      <c r="A11" s="70">
        <v>5</v>
      </c>
      <c r="B11" s="209" t="s">
        <v>15</v>
      </c>
      <c r="C11" s="210"/>
      <c r="D11" s="48">
        <v>2451</v>
      </c>
      <c r="E11" s="48">
        <f>E10</f>
        <v>87032</v>
      </c>
      <c r="F11" s="48">
        <f t="shared" si="3"/>
        <v>213315432</v>
      </c>
      <c r="G11" s="48">
        <v>887</v>
      </c>
      <c r="H11" s="48">
        <f>H10</f>
        <v>513971</v>
      </c>
      <c r="I11" s="48">
        <f t="shared" si="4"/>
        <v>455892277</v>
      </c>
      <c r="J11" s="48">
        <f t="shared" si="5"/>
        <v>669207709</v>
      </c>
    </row>
    <row r="12" spans="1:10" ht="20.100000000000001" customHeight="1" x14ac:dyDescent="0.25">
      <c r="A12" s="70">
        <v>6</v>
      </c>
      <c r="B12" s="209" t="s">
        <v>19</v>
      </c>
      <c r="C12" s="210"/>
      <c r="D12" s="48">
        <v>554</v>
      </c>
      <c r="E12" s="48">
        <f>E11</f>
        <v>87032</v>
      </c>
      <c r="F12" s="48">
        <f t="shared" si="3"/>
        <v>48215728</v>
      </c>
      <c r="G12" s="48">
        <v>375</v>
      </c>
      <c r="H12" s="48">
        <f>H11</f>
        <v>513971</v>
      </c>
      <c r="I12" s="48">
        <f t="shared" si="4"/>
        <v>192739125</v>
      </c>
      <c r="J12" s="48">
        <f t="shared" si="5"/>
        <v>240954853</v>
      </c>
    </row>
    <row r="13" spans="1:10" ht="20.100000000000001" customHeight="1" x14ac:dyDescent="0.25">
      <c r="A13" s="70">
        <v>7</v>
      </c>
      <c r="B13" s="209" t="s">
        <v>18</v>
      </c>
      <c r="C13" s="210"/>
      <c r="D13" s="48">
        <v>1317</v>
      </c>
      <c r="E13" s="48">
        <f>E12</f>
        <v>87032</v>
      </c>
      <c r="F13" s="48">
        <f t="shared" si="3"/>
        <v>114621144</v>
      </c>
      <c r="G13" s="48">
        <v>609</v>
      </c>
      <c r="H13" s="48">
        <f>H12</f>
        <v>513971</v>
      </c>
      <c r="I13" s="48">
        <f t="shared" si="4"/>
        <v>313008339</v>
      </c>
      <c r="J13" s="48">
        <f t="shared" si="5"/>
        <v>427629483</v>
      </c>
    </row>
    <row r="14" spans="1:10" ht="20.100000000000001" customHeight="1" x14ac:dyDescent="0.25">
      <c r="A14" s="70">
        <v>8</v>
      </c>
      <c r="B14" s="209" t="s">
        <v>16</v>
      </c>
      <c r="C14" s="210"/>
      <c r="D14" s="48">
        <v>2884</v>
      </c>
      <c r="E14" s="48">
        <f>E13</f>
        <v>87032</v>
      </c>
      <c r="F14" s="48">
        <f t="shared" si="3"/>
        <v>251000288</v>
      </c>
      <c r="G14" s="48">
        <v>870</v>
      </c>
      <c r="H14" s="48">
        <f>H13</f>
        <v>513971</v>
      </c>
      <c r="I14" s="48">
        <f t="shared" si="4"/>
        <v>447154770</v>
      </c>
      <c r="J14" s="48">
        <f t="shared" si="5"/>
        <v>698155058</v>
      </c>
    </row>
    <row r="15" spans="1:10" ht="20.100000000000001" customHeight="1" x14ac:dyDescent="0.25">
      <c r="A15" s="70">
        <v>9</v>
      </c>
      <c r="B15" s="209" t="s">
        <v>17</v>
      </c>
      <c r="C15" s="210"/>
      <c r="D15" s="48">
        <v>1658</v>
      </c>
      <c r="E15" s="48">
        <f>E14</f>
        <v>87032</v>
      </c>
      <c r="F15" s="48">
        <f t="shared" ref="F15" si="6">D15*E15</f>
        <v>144299056</v>
      </c>
      <c r="G15" s="48">
        <v>502</v>
      </c>
      <c r="H15" s="48">
        <f>H14</f>
        <v>513971</v>
      </c>
      <c r="I15" s="48">
        <f t="shared" ref="I15" si="7">G15*H15</f>
        <v>258013442</v>
      </c>
      <c r="J15" s="48">
        <f t="shared" ref="J15" si="8">F15+I15</f>
        <v>402312498</v>
      </c>
    </row>
    <row r="16" spans="1:10" ht="20.100000000000001" customHeight="1" x14ac:dyDescent="0.25">
      <c r="A16" s="70">
        <v>10</v>
      </c>
      <c r="B16" s="209" t="s">
        <v>20</v>
      </c>
      <c r="C16" s="210"/>
      <c r="D16" s="48">
        <v>5671</v>
      </c>
      <c r="E16" s="48">
        <f>E14</f>
        <v>87032</v>
      </c>
      <c r="F16" s="48">
        <f t="shared" si="3"/>
        <v>493558472</v>
      </c>
      <c r="G16" s="48">
        <v>2529</v>
      </c>
      <c r="H16" s="48">
        <f>H14</f>
        <v>513971</v>
      </c>
      <c r="I16" s="48">
        <f t="shared" si="4"/>
        <v>1299832659</v>
      </c>
      <c r="J16" s="48">
        <f t="shared" si="5"/>
        <v>1793391131</v>
      </c>
    </row>
    <row r="17" spans="1:10" ht="20.100000000000001" customHeight="1" x14ac:dyDescent="0.25">
      <c r="A17" s="70">
        <v>11</v>
      </c>
      <c r="B17" s="209" t="s">
        <v>21</v>
      </c>
      <c r="C17" s="210"/>
      <c r="D17" s="48">
        <f>'PL08'!K19</f>
        <v>6058</v>
      </c>
      <c r="E17" s="48">
        <f>E16</f>
        <v>87032</v>
      </c>
      <c r="F17" s="48">
        <f t="shared" si="0"/>
        <v>527239856</v>
      </c>
      <c r="G17" s="48">
        <f>'PL08'!L19</f>
        <v>1551</v>
      </c>
      <c r="H17" s="48">
        <f>H16</f>
        <v>513971</v>
      </c>
      <c r="I17" s="48">
        <f t="shared" si="1"/>
        <v>797169021</v>
      </c>
      <c r="J17" s="48">
        <f t="shared" si="2"/>
        <v>1324408877</v>
      </c>
    </row>
    <row r="18" spans="1:10" ht="20.100000000000001" customHeight="1" x14ac:dyDescent="0.25">
      <c r="A18" s="70">
        <v>12</v>
      </c>
      <c r="B18" s="209" t="s">
        <v>22</v>
      </c>
      <c r="C18" s="210"/>
      <c r="D18" s="48">
        <v>2395</v>
      </c>
      <c r="E18" s="48">
        <f>E17</f>
        <v>87032</v>
      </c>
      <c r="F18" s="48">
        <f t="shared" si="0"/>
        <v>208441640</v>
      </c>
      <c r="G18" s="48">
        <v>1545</v>
      </c>
      <c r="H18" s="48">
        <f>H17</f>
        <v>513971</v>
      </c>
      <c r="I18" s="48">
        <f t="shared" si="1"/>
        <v>794085195</v>
      </c>
      <c r="J18" s="48">
        <f t="shared" si="2"/>
        <v>1002526835</v>
      </c>
    </row>
    <row r="19" spans="1:10" ht="20.100000000000001" customHeight="1" x14ac:dyDescent="0.25">
      <c r="A19" s="70">
        <v>13</v>
      </c>
      <c r="B19" s="209" t="s">
        <v>10</v>
      </c>
      <c r="C19" s="210"/>
      <c r="D19" s="48">
        <v>1208</v>
      </c>
      <c r="E19" s="48">
        <f>E16</f>
        <v>87032</v>
      </c>
      <c r="F19" s="48">
        <f t="shared" ref="F19" si="9">D19*E19</f>
        <v>105134656</v>
      </c>
      <c r="G19" s="48">
        <v>881</v>
      </c>
      <c r="H19" s="48">
        <f>H16</f>
        <v>513971</v>
      </c>
      <c r="I19" s="48">
        <f t="shared" ref="I19" si="10">G19*H19</f>
        <v>452808451</v>
      </c>
      <c r="J19" s="48">
        <f t="shared" ref="J19" si="11">F19+I19</f>
        <v>557943107</v>
      </c>
    </row>
    <row r="20" spans="1:10" s="96" customFormat="1" ht="20.100000000000001" customHeight="1" x14ac:dyDescent="0.25">
      <c r="A20" s="206" t="s">
        <v>38</v>
      </c>
      <c r="B20" s="207"/>
      <c r="C20" s="208"/>
      <c r="D20" s="50"/>
      <c r="E20" s="50"/>
      <c r="F20" s="50">
        <f>SUM(F7:F19)</f>
        <v>3188678416</v>
      </c>
      <c r="G20" s="50"/>
      <c r="H20" s="50"/>
      <c r="I20" s="50">
        <f t="shared" ref="G20:J20" si="12">SUM(I7:I19)</f>
        <v>7058363743</v>
      </c>
      <c r="J20" s="50">
        <f t="shared" si="12"/>
        <v>10247042159</v>
      </c>
    </row>
    <row r="21" spans="1:10" s="96" customFormat="1" ht="20.100000000000001" customHeight="1" x14ac:dyDescent="0.25">
      <c r="A21" s="202" t="s">
        <v>150</v>
      </c>
      <c r="B21" s="203"/>
      <c r="C21" s="204"/>
      <c r="D21" s="50"/>
      <c r="E21" s="50"/>
      <c r="F21" s="50">
        <f>F20*0.1</f>
        <v>318867841.60000002</v>
      </c>
      <c r="G21" s="50"/>
      <c r="H21" s="50"/>
      <c r="I21" s="50">
        <f t="shared" ref="I21" si="13">I20*0.1</f>
        <v>705836374.30000007</v>
      </c>
      <c r="J21" s="50">
        <f t="shared" ref="J21" si="14">J20*0.1</f>
        <v>1024704215.9000001</v>
      </c>
    </row>
    <row r="22" spans="1:10" s="96" customFormat="1" ht="20.100000000000001" customHeight="1" x14ac:dyDescent="0.25">
      <c r="A22" s="202" t="s">
        <v>151</v>
      </c>
      <c r="B22" s="203"/>
      <c r="C22" s="204"/>
      <c r="D22" s="50"/>
      <c r="E22" s="50"/>
      <c r="F22" s="50">
        <f>F20+F21</f>
        <v>3507546257.5999999</v>
      </c>
      <c r="G22" s="50"/>
      <c r="H22" s="50"/>
      <c r="I22" s="50">
        <f t="shared" ref="I22" si="15">I20+I21</f>
        <v>7764200117.3000002</v>
      </c>
      <c r="J22" s="50">
        <f>J20*0.1</f>
        <v>1024704215.9000001</v>
      </c>
    </row>
    <row r="23" spans="1:10" ht="20.100000000000001" customHeight="1" x14ac:dyDescent="0.25">
      <c r="A23" s="202" t="s">
        <v>152</v>
      </c>
      <c r="B23" s="203"/>
      <c r="C23" s="204"/>
      <c r="D23" s="48"/>
      <c r="E23" s="48"/>
      <c r="F23" s="50">
        <f>ROUNDDOWN(F22,-3)</f>
        <v>3507546000</v>
      </c>
      <c r="G23" s="50"/>
      <c r="H23" s="50"/>
      <c r="I23" s="50">
        <f t="shared" ref="I23" si="16">ROUNDDOWN(I22,-3)</f>
        <v>7764200000</v>
      </c>
      <c r="J23" s="50">
        <f>ROUNDDOWN((J20+J22),-6)</f>
        <v>11271000000</v>
      </c>
    </row>
  </sheetData>
  <mergeCells count="25">
    <mergeCell ref="B13:C13"/>
    <mergeCell ref="B16:C16"/>
    <mergeCell ref="A21:C21"/>
    <mergeCell ref="A20:C20"/>
    <mergeCell ref="B15:C15"/>
    <mergeCell ref="A22:C22"/>
    <mergeCell ref="A23:C23"/>
    <mergeCell ref="D5:F5"/>
    <mergeCell ref="B9:C9"/>
    <mergeCell ref="B10:C10"/>
    <mergeCell ref="B19:C19"/>
    <mergeCell ref="B18:C18"/>
    <mergeCell ref="B14:C14"/>
    <mergeCell ref="B17:C17"/>
    <mergeCell ref="B7:C7"/>
    <mergeCell ref="B8:C8"/>
    <mergeCell ref="A1:J1"/>
    <mergeCell ref="A4:A6"/>
    <mergeCell ref="B4:C6"/>
    <mergeCell ref="D4:I4"/>
    <mergeCell ref="J4:J6"/>
    <mergeCell ref="G5:I5"/>
    <mergeCell ref="A2:J2"/>
    <mergeCell ref="B11:C11"/>
    <mergeCell ref="B12:C12"/>
  </mergeCells>
  <printOptions horizontalCentered="1"/>
  <pageMargins left="0.70866141732283472" right="0.43307086614173229" top="0.35433070866141736" bottom="0.23622047244094491" header="0.15748031496062992" footer="0.31496062992125984"/>
  <pageSetup paperSize="9" firstPageNumber="40"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workbookViewId="0">
      <selection activeCell="D13" sqref="D13"/>
    </sheetView>
  </sheetViews>
  <sheetFormatPr defaultRowHeight="15.75" x14ac:dyDescent="0.25"/>
  <cols>
    <col min="1" max="1" width="4.625" customWidth="1"/>
    <col min="2" max="2" width="18.5" customWidth="1"/>
    <col min="3" max="3" width="17.375" customWidth="1"/>
    <col min="4" max="4" width="15" customWidth="1"/>
    <col min="5" max="5" width="15.5" customWidth="1"/>
    <col min="6" max="6" width="15" customWidth="1"/>
    <col min="7" max="7" width="15.875" customWidth="1"/>
    <col min="8" max="8" width="14.875" customWidth="1"/>
    <col min="9" max="9" width="15.75" customWidth="1"/>
  </cols>
  <sheetData>
    <row r="1" spans="1:9" x14ac:dyDescent="0.25">
      <c r="A1" s="137" t="s">
        <v>239</v>
      </c>
      <c r="B1" s="137"/>
      <c r="C1" s="137"/>
      <c r="D1" s="137"/>
      <c r="E1" s="137"/>
      <c r="F1" s="137"/>
      <c r="G1" s="137"/>
      <c r="H1" s="137"/>
      <c r="I1" s="137"/>
    </row>
    <row r="2" spans="1:9" x14ac:dyDescent="0.25">
      <c r="I2" s="232" t="s">
        <v>240</v>
      </c>
    </row>
    <row r="3" spans="1:9" ht="31.5" customHeight="1" x14ac:dyDescent="0.25">
      <c r="A3" s="161" t="s">
        <v>1</v>
      </c>
      <c r="B3" s="161" t="s">
        <v>229</v>
      </c>
      <c r="C3" s="161" t="s">
        <v>230</v>
      </c>
      <c r="D3" s="211" t="s">
        <v>231</v>
      </c>
      <c r="E3" s="221"/>
      <c r="F3" s="212"/>
      <c r="G3" s="136" t="s">
        <v>232</v>
      </c>
      <c r="H3" s="136"/>
      <c r="I3" s="161" t="s">
        <v>0</v>
      </c>
    </row>
    <row r="4" spans="1:9" ht="21.75" customHeight="1" x14ac:dyDescent="0.25">
      <c r="A4" s="163"/>
      <c r="B4" s="163"/>
      <c r="C4" s="163"/>
      <c r="D4" s="127" t="s">
        <v>8</v>
      </c>
      <c r="E4" s="127" t="s">
        <v>93</v>
      </c>
      <c r="F4" s="127" t="s">
        <v>94</v>
      </c>
      <c r="G4" s="131" t="s">
        <v>236</v>
      </c>
      <c r="H4" s="131" t="s">
        <v>152</v>
      </c>
      <c r="I4" s="163"/>
    </row>
    <row r="5" spans="1:9" ht="20.100000000000001" customHeight="1" x14ac:dyDescent="0.25">
      <c r="A5" s="131" t="s">
        <v>72</v>
      </c>
      <c r="B5" s="222" t="s">
        <v>234</v>
      </c>
      <c r="C5" s="223">
        <f>SUM(C6:C8)</f>
        <v>109671000000</v>
      </c>
      <c r="D5" s="223">
        <f t="shared" ref="D5:H5" si="0">SUM(D6:D8)</f>
        <v>74140000000</v>
      </c>
      <c r="E5" s="223">
        <f t="shared" si="0"/>
        <v>47050000000</v>
      </c>
      <c r="F5" s="223">
        <f t="shared" si="0"/>
        <v>27090000000</v>
      </c>
      <c r="G5" s="223">
        <f t="shared" si="0"/>
        <v>35531827500</v>
      </c>
      <c r="H5" s="223">
        <f t="shared" si="0"/>
        <v>35531000000</v>
      </c>
      <c r="I5" s="229" t="s">
        <v>238</v>
      </c>
    </row>
    <row r="6" spans="1:9" ht="20.100000000000001" customHeight="1" x14ac:dyDescent="0.25">
      <c r="A6" s="54">
        <v>1</v>
      </c>
      <c r="B6" s="78" t="s">
        <v>142</v>
      </c>
      <c r="C6" s="48">
        <f>D6+H6</f>
        <v>53361000000</v>
      </c>
      <c r="D6" s="48">
        <f>SUM(E6:F6)</f>
        <v>42090000000</v>
      </c>
      <c r="E6" s="48">
        <v>15000000000</v>
      </c>
      <c r="F6" s="48">
        <f>'PL10'!J49</f>
        <v>27090000000</v>
      </c>
      <c r="G6" s="48">
        <f>'PL11'!J23</f>
        <v>11271000000</v>
      </c>
      <c r="H6" s="48">
        <f>ROUNDDOWN(G6,-6)</f>
        <v>11271000000</v>
      </c>
      <c r="I6" s="230"/>
    </row>
    <row r="7" spans="1:9" ht="20.100000000000001" customHeight="1" x14ac:dyDescent="0.25">
      <c r="A7" s="54">
        <v>2</v>
      </c>
      <c r="B7" s="78" t="s">
        <v>145</v>
      </c>
      <c r="C7" s="48">
        <f t="shared" ref="C7:C9" si="1">D7+H7</f>
        <v>31834000000</v>
      </c>
      <c r="D7" s="48">
        <f t="shared" ref="D7:D8" si="2">SUM(E7:F7)</f>
        <v>20000000000</v>
      </c>
      <c r="E7" s="48">
        <v>20000000000</v>
      </c>
      <c r="F7" s="48"/>
      <c r="G7" s="48">
        <f>G6+(G6*5%)</f>
        <v>11834550000</v>
      </c>
      <c r="H7" s="48">
        <f t="shared" ref="H7:H9" si="3">ROUNDDOWN(G7,-6)</f>
        <v>11834000000</v>
      </c>
      <c r="I7" s="230"/>
    </row>
    <row r="8" spans="1:9" ht="20.100000000000001" customHeight="1" x14ac:dyDescent="0.25">
      <c r="A8" s="54">
        <v>3</v>
      </c>
      <c r="B8" s="78" t="s">
        <v>233</v>
      </c>
      <c r="C8" s="48">
        <f t="shared" si="1"/>
        <v>24476000000</v>
      </c>
      <c r="D8" s="48">
        <f t="shared" si="2"/>
        <v>12050000000</v>
      </c>
      <c r="E8" s="48">
        <f>'PL09'!P70-('PL12'!E6+'PL12'!E7)</f>
        <v>12050000000</v>
      </c>
      <c r="F8" s="48"/>
      <c r="G8" s="48">
        <f t="shared" ref="G8:G9" si="4">G7+(G7*5%)</f>
        <v>12426277500</v>
      </c>
      <c r="H8" s="48">
        <f t="shared" si="3"/>
        <v>12426000000</v>
      </c>
      <c r="I8" s="230"/>
    </row>
    <row r="9" spans="1:9" ht="20.100000000000001" customHeight="1" x14ac:dyDescent="0.25">
      <c r="A9" s="127" t="s">
        <v>73</v>
      </c>
      <c r="B9" s="23" t="s">
        <v>235</v>
      </c>
      <c r="C9" s="50">
        <f t="shared" si="1"/>
        <v>13047000000</v>
      </c>
      <c r="D9" s="50"/>
      <c r="E9" s="50"/>
      <c r="F9" s="50"/>
      <c r="G9" s="50">
        <f t="shared" si="4"/>
        <v>13047591375</v>
      </c>
      <c r="H9" s="50">
        <f t="shared" si="3"/>
        <v>13047000000</v>
      </c>
      <c r="I9" s="231"/>
    </row>
  </sheetData>
  <mergeCells count="8">
    <mergeCell ref="G3:H3"/>
    <mergeCell ref="I5:I9"/>
    <mergeCell ref="A1:I1"/>
    <mergeCell ref="A3:A4"/>
    <mergeCell ref="B3:B4"/>
    <mergeCell ref="C3:C4"/>
    <mergeCell ref="D3:F3"/>
    <mergeCell ref="I3: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7" sqref="A7"/>
    </sheetView>
  </sheetViews>
  <sheetFormatPr defaultRowHeight="15.75" x14ac:dyDescent="0.25"/>
  <cols>
    <col min="1" max="1" width="4.75" customWidth="1"/>
    <col min="2" max="2" width="15.5" customWidth="1"/>
    <col min="3" max="3" width="9.875" customWidth="1"/>
    <col min="4" max="4" width="11" customWidth="1"/>
    <col min="5" max="5" width="10.875" customWidth="1"/>
    <col min="7" max="7" width="8.5" customWidth="1"/>
    <col min="8" max="8" width="10" customWidth="1"/>
    <col min="9" max="9" width="42" customWidth="1"/>
  </cols>
  <sheetData>
    <row r="1" spans="1:9" x14ac:dyDescent="0.25">
      <c r="A1" s="137" t="s">
        <v>46</v>
      </c>
      <c r="B1" s="137"/>
      <c r="C1" s="137"/>
      <c r="D1" s="137"/>
      <c r="E1" s="137"/>
      <c r="F1" s="137"/>
      <c r="G1" s="137"/>
      <c r="H1" s="137"/>
      <c r="I1" s="137"/>
    </row>
    <row r="3" spans="1:9" ht="21" customHeight="1" x14ac:dyDescent="0.25">
      <c r="A3" s="138" t="s">
        <v>28</v>
      </c>
      <c r="B3" s="136" t="s">
        <v>2</v>
      </c>
      <c r="C3" s="136" t="s">
        <v>30</v>
      </c>
      <c r="D3" s="136" t="s">
        <v>31</v>
      </c>
      <c r="E3" s="136" t="s">
        <v>29</v>
      </c>
      <c r="F3" s="136" t="s">
        <v>35</v>
      </c>
      <c r="G3" s="136"/>
      <c r="H3" s="136"/>
      <c r="I3" s="136" t="s">
        <v>0</v>
      </c>
    </row>
    <row r="4" spans="1:9" ht="52.5" customHeight="1" x14ac:dyDescent="0.25">
      <c r="A4" s="138"/>
      <c r="B4" s="136"/>
      <c r="C4" s="136"/>
      <c r="D4" s="136"/>
      <c r="E4" s="136"/>
      <c r="F4" s="6" t="s">
        <v>32</v>
      </c>
      <c r="G4" s="6" t="s">
        <v>33</v>
      </c>
      <c r="H4" s="6" t="s">
        <v>34</v>
      </c>
      <c r="I4" s="136"/>
    </row>
    <row r="5" spans="1:9" ht="24.95" customHeight="1" x14ac:dyDescent="0.25">
      <c r="A5" s="10">
        <v>1</v>
      </c>
      <c r="B5" s="11" t="s">
        <v>6</v>
      </c>
      <c r="C5" s="12">
        <v>16</v>
      </c>
      <c r="D5" s="12">
        <v>15</v>
      </c>
      <c r="E5" s="13">
        <v>3455.37</v>
      </c>
      <c r="F5" s="8">
        <v>224</v>
      </c>
      <c r="G5" s="8">
        <v>17</v>
      </c>
      <c r="H5" s="8">
        <v>59</v>
      </c>
      <c r="I5" s="8" t="s">
        <v>134</v>
      </c>
    </row>
    <row r="6" spans="1:9" ht="24.95" customHeight="1" x14ac:dyDescent="0.25">
      <c r="A6" s="10">
        <v>2</v>
      </c>
      <c r="B6" s="11" t="s">
        <v>7</v>
      </c>
      <c r="C6" s="12">
        <v>6</v>
      </c>
      <c r="D6" s="15">
        <v>2</v>
      </c>
      <c r="E6" s="13">
        <v>646</v>
      </c>
      <c r="F6" s="8">
        <v>84</v>
      </c>
      <c r="G6" s="8">
        <v>5</v>
      </c>
      <c r="H6" s="8">
        <v>5</v>
      </c>
      <c r="I6" s="8" t="s">
        <v>37</v>
      </c>
    </row>
    <row r="7" spans="1:9" ht="24.95" customHeight="1" x14ac:dyDescent="0.25">
      <c r="A7" s="10">
        <v>3</v>
      </c>
      <c r="B7" s="11" t="s">
        <v>20</v>
      </c>
      <c r="C7" s="12">
        <v>31</v>
      </c>
      <c r="D7" s="12">
        <v>29</v>
      </c>
      <c r="E7" s="13">
        <v>22322.91</v>
      </c>
      <c r="F7" s="8">
        <v>463</v>
      </c>
      <c r="G7" s="8">
        <v>65</v>
      </c>
      <c r="H7" s="8">
        <v>207</v>
      </c>
      <c r="I7" s="8" t="s">
        <v>36</v>
      </c>
    </row>
    <row r="8" spans="1:9" ht="24.95" customHeight="1" x14ac:dyDescent="0.25">
      <c r="A8" s="10">
        <v>4</v>
      </c>
      <c r="B8" s="11" t="s">
        <v>17</v>
      </c>
      <c r="C8" s="12">
        <v>13</v>
      </c>
      <c r="D8" s="12">
        <v>6</v>
      </c>
      <c r="E8" s="13">
        <v>4252</v>
      </c>
      <c r="F8" s="8">
        <v>111</v>
      </c>
      <c r="G8" s="8">
        <v>17</v>
      </c>
      <c r="H8" s="8">
        <v>49</v>
      </c>
      <c r="I8" s="8" t="s">
        <v>43</v>
      </c>
    </row>
    <row r="9" spans="1:9" ht="31.5" customHeight="1" x14ac:dyDescent="0.25">
      <c r="A9" s="10">
        <v>5</v>
      </c>
      <c r="B9" s="11" t="s">
        <v>21</v>
      </c>
      <c r="C9" s="12">
        <v>27</v>
      </c>
      <c r="D9" s="12">
        <v>1</v>
      </c>
      <c r="E9" s="13">
        <v>670</v>
      </c>
      <c r="F9" s="8">
        <v>15</v>
      </c>
      <c r="G9" s="8">
        <v>2</v>
      </c>
      <c r="H9" s="8">
        <v>0</v>
      </c>
      <c r="I9" s="8" t="s">
        <v>133</v>
      </c>
    </row>
    <row r="10" spans="1:9" ht="24.95" customHeight="1" x14ac:dyDescent="0.25">
      <c r="A10" s="14"/>
      <c r="B10" s="17" t="s">
        <v>38</v>
      </c>
      <c r="C10" s="17">
        <f t="shared" ref="C10:H10" si="0">SUM(C5:C9)</f>
        <v>93</v>
      </c>
      <c r="D10" s="17">
        <f t="shared" si="0"/>
        <v>53</v>
      </c>
      <c r="E10" s="21">
        <f t="shared" si="0"/>
        <v>31346.28</v>
      </c>
      <c r="F10" s="17">
        <f t="shared" si="0"/>
        <v>897</v>
      </c>
      <c r="G10" s="17">
        <f t="shared" si="0"/>
        <v>106</v>
      </c>
      <c r="H10" s="17">
        <f t="shared" si="0"/>
        <v>320</v>
      </c>
      <c r="I10" s="18"/>
    </row>
  </sheetData>
  <mergeCells count="8">
    <mergeCell ref="D3:D4"/>
    <mergeCell ref="F3:H3"/>
    <mergeCell ref="I3:I4"/>
    <mergeCell ref="A1:I1"/>
    <mergeCell ref="A3:A4"/>
    <mergeCell ref="B3:B4"/>
    <mergeCell ref="C3:C4"/>
    <mergeCell ref="E3:E4"/>
  </mergeCells>
  <printOptions horizontalCentered="1"/>
  <pageMargins left="0.62992125984251968" right="0.19685039370078741" top="0.62992125984251968" bottom="0.51181102362204722" header="0.31496062992125984" footer="0.31496062992125984"/>
  <pageSetup paperSize="9" firstPageNumber="26"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7" workbookViewId="0">
      <selection activeCell="A5" sqref="A5:A13"/>
    </sheetView>
  </sheetViews>
  <sheetFormatPr defaultRowHeight="15.75" x14ac:dyDescent="0.25"/>
  <cols>
    <col min="1" max="1" width="5" customWidth="1"/>
    <col min="2" max="2" width="15.75" customWidth="1"/>
    <col min="3" max="3" width="8.75" customWidth="1"/>
    <col min="4" max="4" width="10.625" customWidth="1"/>
    <col min="5" max="5" width="9.625" customWidth="1"/>
    <col min="6" max="6" width="7.125" customWidth="1"/>
    <col min="7" max="7" width="8.25" customWidth="1"/>
    <col min="8" max="8" width="8.125" customWidth="1"/>
    <col min="9" max="9" width="53" customWidth="1"/>
  </cols>
  <sheetData>
    <row r="1" spans="1:9" ht="20.25" customHeight="1" x14ac:dyDescent="0.25">
      <c r="A1" s="137" t="s">
        <v>47</v>
      </c>
      <c r="B1" s="137"/>
      <c r="C1" s="137"/>
      <c r="D1" s="137"/>
      <c r="E1" s="137"/>
      <c r="F1" s="137"/>
      <c r="G1" s="137"/>
      <c r="H1" s="137"/>
      <c r="I1" s="137"/>
    </row>
    <row r="3" spans="1:9" x14ac:dyDescent="0.25">
      <c r="A3" s="138" t="s">
        <v>28</v>
      </c>
      <c r="B3" s="136" t="s">
        <v>2</v>
      </c>
      <c r="C3" s="136" t="s">
        <v>30</v>
      </c>
      <c r="D3" s="136" t="s">
        <v>31</v>
      </c>
      <c r="E3" s="136" t="s">
        <v>29</v>
      </c>
      <c r="F3" s="136" t="s">
        <v>35</v>
      </c>
      <c r="G3" s="136"/>
      <c r="H3" s="136"/>
      <c r="I3" s="136" t="s">
        <v>0</v>
      </c>
    </row>
    <row r="4" spans="1:9" ht="47.25" x14ac:dyDescent="0.25">
      <c r="A4" s="138"/>
      <c r="B4" s="136"/>
      <c r="C4" s="136"/>
      <c r="D4" s="136"/>
      <c r="E4" s="136"/>
      <c r="F4" s="6" t="s">
        <v>32</v>
      </c>
      <c r="G4" s="6" t="s">
        <v>33</v>
      </c>
      <c r="H4" s="6" t="s">
        <v>34</v>
      </c>
      <c r="I4" s="136"/>
    </row>
    <row r="5" spans="1:9" ht="46.5" customHeight="1" x14ac:dyDescent="0.25">
      <c r="A5" s="10">
        <v>1</v>
      </c>
      <c r="B5" s="11" t="s">
        <v>13</v>
      </c>
      <c r="C5" s="12">
        <v>19</v>
      </c>
      <c r="D5" s="12">
        <v>10</v>
      </c>
      <c r="E5" s="81">
        <v>7517</v>
      </c>
      <c r="F5" s="8">
        <v>356</v>
      </c>
      <c r="G5" s="15">
        <v>17</v>
      </c>
      <c r="H5" s="8">
        <v>0</v>
      </c>
      <c r="I5" s="2" t="s">
        <v>44</v>
      </c>
    </row>
    <row r="6" spans="1:9" ht="74.25" customHeight="1" x14ac:dyDescent="0.25">
      <c r="A6" s="10">
        <v>2</v>
      </c>
      <c r="B6" s="11" t="s">
        <v>14</v>
      </c>
      <c r="C6" s="12">
        <v>28</v>
      </c>
      <c r="D6" s="15">
        <v>23</v>
      </c>
      <c r="E6" s="81">
        <v>10928</v>
      </c>
      <c r="F6" s="8">
        <v>192</v>
      </c>
      <c r="G6" s="15">
        <v>25</v>
      </c>
      <c r="H6" s="8">
        <v>0</v>
      </c>
      <c r="I6" s="2" t="s">
        <v>136</v>
      </c>
    </row>
    <row r="7" spans="1:9" ht="24.95" customHeight="1" x14ac:dyDescent="0.25">
      <c r="A7" s="10">
        <v>3</v>
      </c>
      <c r="B7" s="11" t="s">
        <v>15</v>
      </c>
      <c r="C7" s="12">
        <v>32</v>
      </c>
      <c r="D7" s="12">
        <v>4</v>
      </c>
      <c r="E7" s="81">
        <v>1612</v>
      </c>
      <c r="F7" s="8">
        <v>67</v>
      </c>
      <c r="G7" s="15">
        <v>4</v>
      </c>
      <c r="H7" s="8">
        <v>0</v>
      </c>
      <c r="I7" s="4" t="s">
        <v>41</v>
      </c>
    </row>
    <row r="8" spans="1:9" ht="36.75" customHeight="1" x14ac:dyDescent="0.25">
      <c r="A8" s="10">
        <v>4</v>
      </c>
      <c r="B8" s="11" t="s">
        <v>19</v>
      </c>
      <c r="C8" s="12">
        <v>12</v>
      </c>
      <c r="D8" s="12">
        <v>3</v>
      </c>
      <c r="E8" s="81">
        <v>2113</v>
      </c>
      <c r="F8" s="8">
        <v>144</v>
      </c>
      <c r="G8" s="15">
        <v>3</v>
      </c>
      <c r="H8" s="8">
        <v>0</v>
      </c>
      <c r="I8" s="4" t="s">
        <v>135</v>
      </c>
    </row>
    <row r="9" spans="1:9" ht="36.75" customHeight="1" x14ac:dyDescent="0.25">
      <c r="A9" s="10">
        <v>5</v>
      </c>
      <c r="B9" s="11" t="s">
        <v>18</v>
      </c>
      <c r="C9" s="12">
        <v>22</v>
      </c>
      <c r="D9" s="15">
        <v>1</v>
      </c>
      <c r="E9" s="81">
        <v>305</v>
      </c>
      <c r="F9" s="129">
        <v>20</v>
      </c>
      <c r="G9" s="15">
        <v>1</v>
      </c>
      <c r="H9" s="129">
        <v>0</v>
      </c>
      <c r="I9" s="130" t="s">
        <v>39</v>
      </c>
    </row>
    <row r="10" spans="1:9" ht="36.75" customHeight="1" x14ac:dyDescent="0.25">
      <c r="A10" s="10">
        <v>6</v>
      </c>
      <c r="B10" s="11" t="s">
        <v>16</v>
      </c>
      <c r="C10" s="12">
        <v>23</v>
      </c>
      <c r="D10" s="12">
        <v>1</v>
      </c>
      <c r="E10" s="81">
        <v>1160</v>
      </c>
      <c r="F10" s="129">
        <v>20</v>
      </c>
      <c r="G10" s="15">
        <v>5</v>
      </c>
      <c r="H10" s="129">
        <v>0</v>
      </c>
      <c r="I10" s="130" t="s">
        <v>39</v>
      </c>
    </row>
    <row r="11" spans="1:9" ht="32.25" customHeight="1" x14ac:dyDescent="0.25">
      <c r="A11" s="10">
        <v>7</v>
      </c>
      <c r="B11" s="11" t="s">
        <v>20</v>
      </c>
      <c r="C11" s="12">
        <v>31</v>
      </c>
      <c r="D11" s="12">
        <v>8</v>
      </c>
      <c r="E11" s="81">
        <v>6654</v>
      </c>
      <c r="F11" s="8">
        <v>215</v>
      </c>
      <c r="G11" s="15">
        <v>15</v>
      </c>
      <c r="H11" s="8">
        <v>0</v>
      </c>
      <c r="I11" s="4" t="s">
        <v>40</v>
      </c>
    </row>
    <row r="12" spans="1:9" ht="50.25" customHeight="1" x14ac:dyDescent="0.25">
      <c r="A12" s="10">
        <v>8</v>
      </c>
      <c r="B12" s="11" t="s">
        <v>21</v>
      </c>
      <c r="C12" s="12">
        <v>27</v>
      </c>
      <c r="D12" s="12">
        <v>7</v>
      </c>
      <c r="E12" s="81">
        <v>6752</v>
      </c>
      <c r="F12" s="8">
        <v>138</v>
      </c>
      <c r="G12" s="15">
        <v>14</v>
      </c>
      <c r="H12" s="8">
        <v>0</v>
      </c>
      <c r="I12" s="4" t="s">
        <v>118</v>
      </c>
    </row>
    <row r="13" spans="1:9" ht="31.5" customHeight="1" x14ac:dyDescent="0.25">
      <c r="A13" s="10">
        <v>9</v>
      </c>
      <c r="B13" s="11" t="s">
        <v>10</v>
      </c>
      <c r="C13" s="12">
        <v>12</v>
      </c>
      <c r="D13" s="12">
        <v>7</v>
      </c>
      <c r="E13" s="81">
        <v>14228</v>
      </c>
      <c r="F13" s="8">
        <v>356</v>
      </c>
      <c r="G13" s="15">
        <v>20</v>
      </c>
      <c r="H13" s="8">
        <v>0</v>
      </c>
      <c r="I13" s="4" t="s">
        <v>42</v>
      </c>
    </row>
    <row r="14" spans="1:9" ht="24.95" customHeight="1" x14ac:dyDescent="0.25">
      <c r="A14" s="14"/>
      <c r="B14" s="16" t="s">
        <v>38</v>
      </c>
      <c r="C14" s="17">
        <f>SUM(C5:C13)</f>
        <v>206</v>
      </c>
      <c r="D14" s="17">
        <f t="shared" ref="D14:H14" si="0">SUM(D5:D13)</f>
        <v>64</v>
      </c>
      <c r="E14" s="82">
        <f t="shared" si="0"/>
        <v>51269</v>
      </c>
      <c r="F14" s="17">
        <f t="shared" si="0"/>
        <v>1508</v>
      </c>
      <c r="G14" s="17">
        <f t="shared" si="0"/>
        <v>104</v>
      </c>
      <c r="H14" s="17">
        <f t="shared" si="0"/>
        <v>0</v>
      </c>
      <c r="I14" s="18"/>
    </row>
  </sheetData>
  <mergeCells count="8">
    <mergeCell ref="A1:I1"/>
    <mergeCell ref="A3:A4"/>
    <mergeCell ref="B3:B4"/>
    <mergeCell ref="C3:C4"/>
    <mergeCell ref="D3:D4"/>
    <mergeCell ref="E3:E4"/>
    <mergeCell ref="F3:H3"/>
    <mergeCell ref="I3:I4"/>
  </mergeCells>
  <printOptions horizontalCentered="1"/>
  <pageMargins left="0.43307086614173229" right="0.19685039370078741" top="0.51181102362204722" bottom="0.23622047244094491" header="0.47244094488188981" footer="0.31496062992125984"/>
  <pageSetup paperSize="9" firstPageNumber="27"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11" workbookViewId="0">
      <selection activeCell="A8" sqref="A8:A17"/>
    </sheetView>
  </sheetViews>
  <sheetFormatPr defaultRowHeight="15.75" x14ac:dyDescent="0.25"/>
  <cols>
    <col min="1" max="1" width="5.5" customWidth="1"/>
    <col min="2" max="2" width="17.25" customWidth="1"/>
    <col min="5" max="5" width="11.125" bestFit="1" customWidth="1"/>
    <col min="6" max="6" width="8.5" customWidth="1"/>
    <col min="7" max="8" width="7.875" customWidth="1"/>
    <col min="9" max="9" width="46.25" customWidth="1"/>
  </cols>
  <sheetData>
    <row r="1" spans="1:9" x14ac:dyDescent="0.25">
      <c r="A1" s="137" t="s">
        <v>48</v>
      </c>
      <c r="B1" s="137"/>
      <c r="C1" s="137"/>
      <c r="D1" s="137"/>
      <c r="E1" s="137"/>
      <c r="F1" s="137"/>
      <c r="G1" s="137"/>
      <c r="H1" s="137"/>
      <c r="I1" s="137"/>
    </row>
    <row r="3" spans="1:9" x14ac:dyDescent="0.25">
      <c r="A3" s="136" t="s">
        <v>28</v>
      </c>
      <c r="B3" s="136" t="s">
        <v>2</v>
      </c>
      <c r="C3" s="136" t="s">
        <v>30</v>
      </c>
      <c r="D3" s="136" t="s">
        <v>31</v>
      </c>
      <c r="E3" s="136" t="s">
        <v>29</v>
      </c>
      <c r="F3" s="136" t="s">
        <v>35</v>
      </c>
      <c r="G3" s="136"/>
      <c r="H3" s="136"/>
      <c r="I3" s="136" t="s">
        <v>0</v>
      </c>
    </row>
    <row r="4" spans="1:9" ht="64.5" customHeight="1" x14ac:dyDescent="0.25">
      <c r="A4" s="136"/>
      <c r="B4" s="136"/>
      <c r="C4" s="136"/>
      <c r="D4" s="136"/>
      <c r="E4" s="136"/>
      <c r="F4" s="6" t="s">
        <v>32</v>
      </c>
      <c r="G4" s="6" t="s">
        <v>33</v>
      </c>
      <c r="H4" s="6" t="s">
        <v>34</v>
      </c>
      <c r="I4" s="136"/>
    </row>
    <row r="5" spans="1:9" ht="24.95" customHeight="1" x14ac:dyDescent="0.25">
      <c r="A5" s="10">
        <v>1</v>
      </c>
      <c r="B5" s="2" t="s">
        <v>11</v>
      </c>
      <c r="C5" s="9">
        <v>16</v>
      </c>
      <c r="D5" s="12">
        <v>16</v>
      </c>
      <c r="E5" s="79">
        <v>5504.7</v>
      </c>
      <c r="F5" s="83">
        <v>472</v>
      </c>
      <c r="G5" s="8">
        <v>1</v>
      </c>
      <c r="H5" s="8">
        <v>8</v>
      </c>
      <c r="I5" s="1" t="s">
        <v>128</v>
      </c>
    </row>
    <row r="6" spans="1:9" ht="30" customHeight="1" x14ac:dyDescent="0.25">
      <c r="A6" s="10">
        <v>2</v>
      </c>
      <c r="B6" s="4" t="s">
        <v>12</v>
      </c>
      <c r="C6" s="9">
        <v>6</v>
      </c>
      <c r="D6" s="12">
        <v>6</v>
      </c>
      <c r="E6" s="79">
        <v>4178.03</v>
      </c>
      <c r="F6" s="83">
        <v>276</v>
      </c>
      <c r="G6" s="8">
        <v>10</v>
      </c>
      <c r="H6" s="8">
        <v>66</v>
      </c>
      <c r="I6" s="1" t="s">
        <v>121</v>
      </c>
    </row>
    <row r="7" spans="1:9" ht="32.25" customHeight="1" x14ac:dyDescent="0.25">
      <c r="A7" s="10">
        <v>3</v>
      </c>
      <c r="B7" s="4" t="s">
        <v>13</v>
      </c>
      <c r="C7" s="9">
        <v>19</v>
      </c>
      <c r="D7" s="15">
        <v>19</v>
      </c>
      <c r="E7" s="79">
        <v>16184.77</v>
      </c>
      <c r="F7" s="83">
        <v>971</v>
      </c>
      <c r="G7" s="8">
        <v>37</v>
      </c>
      <c r="H7" s="8">
        <v>252</v>
      </c>
      <c r="I7" s="1" t="s">
        <v>119</v>
      </c>
    </row>
    <row r="8" spans="1:9" ht="46.5" customHeight="1" x14ac:dyDescent="0.25">
      <c r="A8" s="10">
        <v>4</v>
      </c>
      <c r="B8" s="4" t="s">
        <v>14</v>
      </c>
      <c r="C8" s="9">
        <v>28</v>
      </c>
      <c r="D8" s="15">
        <v>28</v>
      </c>
      <c r="E8" s="79">
        <v>17264.43</v>
      </c>
      <c r="F8" s="83">
        <v>906</v>
      </c>
      <c r="G8" s="8">
        <v>36</v>
      </c>
      <c r="H8" s="8">
        <v>154</v>
      </c>
      <c r="I8" s="1" t="s">
        <v>122</v>
      </c>
    </row>
    <row r="9" spans="1:9" ht="54" customHeight="1" x14ac:dyDescent="0.25">
      <c r="A9" s="10">
        <v>5</v>
      </c>
      <c r="B9" s="4" t="s">
        <v>15</v>
      </c>
      <c r="C9" s="9">
        <v>32</v>
      </c>
      <c r="D9" s="12">
        <v>32</v>
      </c>
      <c r="E9" s="79">
        <v>27202.53</v>
      </c>
      <c r="F9" s="83">
        <v>1679</v>
      </c>
      <c r="G9" s="8">
        <v>44</v>
      </c>
      <c r="H9" s="8">
        <v>207</v>
      </c>
      <c r="I9" s="1" t="s">
        <v>123</v>
      </c>
    </row>
    <row r="10" spans="1:9" ht="38.25" customHeight="1" x14ac:dyDescent="0.25">
      <c r="A10" s="10">
        <v>6</v>
      </c>
      <c r="B10" s="130" t="s">
        <v>19</v>
      </c>
      <c r="C10" s="9">
        <v>12</v>
      </c>
      <c r="D10" s="12">
        <v>10</v>
      </c>
      <c r="E10" s="79">
        <v>9281.52</v>
      </c>
      <c r="F10" s="83">
        <v>552</v>
      </c>
      <c r="G10" s="129">
        <v>15</v>
      </c>
      <c r="H10" s="129">
        <v>73</v>
      </c>
      <c r="I10" s="1" t="s">
        <v>126</v>
      </c>
    </row>
    <row r="11" spans="1:9" ht="38.25" customHeight="1" x14ac:dyDescent="0.25">
      <c r="A11" s="10">
        <v>7</v>
      </c>
      <c r="B11" s="130" t="s">
        <v>18</v>
      </c>
      <c r="C11" s="9">
        <v>22</v>
      </c>
      <c r="D11" s="12">
        <v>22</v>
      </c>
      <c r="E11" s="79">
        <v>24883.360000000001</v>
      </c>
      <c r="F11" s="83">
        <v>1446</v>
      </c>
      <c r="G11" s="129">
        <v>48</v>
      </c>
      <c r="H11" s="129">
        <v>243</v>
      </c>
      <c r="I11" s="1" t="s">
        <v>125</v>
      </c>
    </row>
    <row r="12" spans="1:9" ht="39" customHeight="1" x14ac:dyDescent="0.25">
      <c r="A12" s="10">
        <v>8</v>
      </c>
      <c r="B12" s="4" t="s">
        <v>16</v>
      </c>
      <c r="C12" s="9">
        <v>23</v>
      </c>
      <c r="D12" s="12">
        <v>23</v>
      </c>
      <c r="E12" s="81">
        <v>22917</v>
      </c>
      <c r="F12" s="83">
        <v>976</v>
      </c>
      <c r="G12" s="8">
        <v>41</v>
      </c>
      <c r="H12" s="8">
        <v>325</v>
      </c>
      <c r="I12" s="1" t="s">
        <v>120</v>
      </c>
    </row>
    <row r="13" spans="1:9" ht="42" customHeight="1" x14ac:dyDescent="0.25">
      <c r="A13" s="10">
        <v>9</v>
      </c>
      <c r="B13" s="4" t="s">
        <v>17</v>
      </c>
      <c r="C13" s="9">
        <v>13</v>
      </c>
      <c r="D13" s="12">
        <v>13</v>
      </c>
      <c r="E13" s="79">
        <v>9536.07</v>
      </c>
      <c r="F13" s="83">
        <v>532</v>
      </c>
      <c r="G13" s="8">
        <v>7</v>
      </c>
      <c r="H13" s="8">
        <v>45</v>
      </c>
      <c r="I13" s="1" t="s">
        <v>124</v>
      </c>
    </row>
    <row r="14" spans="1:9" ht="49.5" customHeight="1" x14ac:dyDescent="0.25">
      <c r="A14" s="10">
        <v>10</v>
      </c>
      <c r="B14" s="4" t="s">
        <v>20</v>
      </c>
      <c r="C14" s="9">
        <v>31</v>
      </c>
      <c r="D14" s="12">
        <v>23</v>
      </c>
      <c r="E14" s="81">
        <v>36614</v>
      </c>
      <c r="F14" s="83">
        <v>1255</v>
      </c>
      <c r="G14" s="8">
        <v>26</v>
      </c>
      <c r="H14" s="8">
        <v>151</v>
      </c>
      <c r="I14" s="1" t="s">
        <v>127</v>
      </c>
    </row>
    <row r="15" spans="1:9" ht="36" customHeight="1" x14ac:dyDescent="0.25">
      <c r="A15" s="10">
        <v>11</v>
      </c>
      <c r="B15" s="4" t="s">
        <v>21</v>
      </c>
      <c r="C15" s="9">
        <v>27</v>
      </c>
      <c r="D15" s="12">
        <v>25</v>
      </c>
      <c r="E15" s="79">
        <v>27062.87</v>
      </c>
      <c r="F15" s="83">
        <v>1284</v>
      </c>
      <c r="G15" s="8">
        <v>45</v>
      </c>
      <c r="H15" s="8">
        <v>257</v>
      </c>
      <c r="I15" s="1" t="s">
        <v>129</v>
      </c>
    </row>
    <row r="16" spans="1:9" ht="52.5" customHeight="1" x14ac:dyDescent="0.25">
      <c r="A16" s="10">
        <v>12</v>
      </c>
      <c r="B16" s="4" t="s">
        <v>22</v>
      </c>
      <c r="C16" s="9">
        <v>21</v>
      </c>
      <c r="D16" s="12">
        <v>20</v>
      </c>
      <c r="E16" s="79">
        <v>24883.16</v>
      </c>
      <c r="F16" s="83">
        <v>1462</v>
      </c>
      <c r="G16" s="8">
        <v>23</v>
      </c>
      <c r="H16" s="8">
        <v>123</v>
      </c>
      <c r="I16" s="1" t="s">
        <v>130</v>
      </c>
    </row>
    <row r="17" spans="1:9" ht="30" customHeight="1" x14ac:dyDescent="0.25">
      <c r="A17" s="10">
        <v>13</v>
      </c>
      <c r="B17" s="4" t="s">
        <v>10</v>
      </c>
      <c r="C17" s="9">
        <v>12</v>
      </c>
      <c r="D17" s="12">
        <v>6</v>
      </c>
      <c r="E17" s="81">
        <v>5234</v>
      </c>
      <c r="F17" s="83">
        <v>347</v>
      </c>
      <c r="G17" s="8">
        <v>5</v>
      </c>
      <c r="H17" s="8">
        <v>29</v>
      </c>
      <c r="I17" s="1" t="s">
        <v>131</v>
      </c>
    </row>
    <row r="18" spans="1:9" ht="24.95" customHeight="1" x14ac:dyDescent="0.25">
      <c r="A18" s="14"/>
      <c r="B18" s="16" t="s">
        <v>38</v>
      </c>
      <c r="C18" s="17">
        <f>SUM(C5:C17)</f>
        <v>262</v>
      </c>
      <c r="D18" s="17">
        <f t="shared" ref="D18:H18" si="0">SUM(D5:D17)</f>
        <v>243</v>
      </c>
      <c r="E18" s="80">
        <f t="shared" si="0"/>
        <v>230746.44</v>
      </c>
      <c r="F18" s="82">
        <f t="shared" si="0"/>
        <v>12158</v>
      </c>
      <c r="G18" s="17">
        <f t="shared" si="0"/>
        <v>338</v>
      </c>
      <c r="H18" s="82">
        <f t="shared" si="0"/>
        <v>1933</v>
      </c>
      <c r="I18" s="18"/>
    </row>
  </sheetData>
  <mergeCells count="8">
    <mergeCell ref="A1:I1"/>
    <mergeCell ref="A3:A4"/>
    <mergeCell ref="B3:B4"/>
    <mergeCell ref="C3:C4"/>
    <mergeCell ref="D3:D4"/>
    <mergeCell ref="E3:E4"/>
    <mergeCell ref="F3:H3"/>
    <mergeCell ref="I3:I4"/>
  </mergeCells>
  <printOptions horizontalCentered="1"/>
  <pageMargins left="0.70866141732283472" right="0.70866141732283472" top="0.72" bottom="0.74803149606299213" header="0.31496062992125984" footer="0.4"/>
  <pageSetup paperSize="9" firstPageNumber="28"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6"/>
  <sheetViews>
    <sheetView workbookViewId="0">
      <selection activeCell="H16" sqref="H16"/>
    </sheetView>
  </sheetViews>
  <sheetFormatPr defaultRowHeight="15.75" x14ac:dyDescent="0.25"/>
  <cols>
    <col min="1" max="1" width="4.75" customWidth="1"/>
    <col min="2" max="2" width="15.375" customWidth="1"/>
    <col min="3" max="3" width="6.375" customWidth="1"/>
    <col min="4" max="4" width="8.25" customWidth="1"/>
    <col min="5" max="5" width="10.375" customWidth="1"/>
    <col min="6" max="6" width="9.375" customWidth="1"/>
    <col min="7" max="7" width="9.125" customWidth="1"/>
    <col min="8" max="8" width="8.375" customWidth="1"/>
    <col min="9" max="9" width="8.625" customWidth="1"/>
    <col min="10" max="10" width="8.375" customWidth="1"/>
    <col min="11" max="11" width="8" customWidth="1"/>
    <col min="12" max="12" width="9.875" bestFit="1" customWidth="1"/>
    <col min="13" max="14" width="9.25" customWidth="1"/>
    <col min="15" max="15" width="7.75" customWidth="1"/>
    <col min="16" max="16" width="9.875" customWidth="1"/>
  </cols>
  <sheetData>
    <row r="2" spans="1:16" x14ac:dyDescent="0.25">
      <c r="A2" s="137" t="s">
        <v>168</v>
      </c>
      <c r="B2" s="137"/>
      <c r="C2" s="137"/>
      <c r="D2" s="137"/>
      <c r="E2" s="137"/>
      <c r="F2" s="137"/>
      <c r="G2" s="137"/>
      <c r="H2" s="137"/>
      <c r="I2" s="137"/>
      <c r="J2" s="137"/>
      <c r="K2" s="137"/>
      <c r="L2" s="137"/>
      <c r="M2" s="137"/>
      <c r="N2" s="137"/>
      <c r="O2" s="137"/>
      <c r="P2" s="137"/>
    </row>
    <row r="3" spans="1:16" x14ac:dyDescent="0.25">
      <c r="A3" s="144" t="s">
        <v>96</v>
      </c>
      <c r="B3" s="144"/>
      <c r="C3" s="144"/>
      <c r="D3" s="144"/>
      <c r="E3" s="144"/>
      <c r="F3" s="144"/>
      <c r="G3" s="144"/>
      <c r="H3" s="144"/>
      <c r="I3" s="144"/>
      <c r="J3" s="144"/>
      <c r="K3" s="144"/>
      <c r="L3" s="144"/>
      <c r="M3" s="144"/>
      <c r="N3" s="144"/>
      <c r="O3" s="144"/>
      <c r="P3" s="144"/>
    </row>
    <row r="5" spans="1:16" x14ac:dyDescent="0.25">
      <c r="A5" s="143" t="s">
        <v>1</v>
      </c>
      <c r="B5" s="140" t="s">
        <v>80</v>
      </c>
      <c r="C5" s="145" t="s">
        <v>98</v>
      </c>
      <c r="D5" s="140" t="s">
        <v>81</v>
      </c>
      <c r="E5" s="140" t="s">
        <v>82</v>
      </c>
      <c r="F5" s="140" t="s">
        <v>83</v>
      </c>
      <c r="G5" s="139" t="s">
        <v>84</v>
      </c>
      <c r="H5" s="139"/>
      <c r="I5" s="139"/>
      <c r="J5" s="139"/>
      <c r="K5" s="139"/>
      <c r="L5" s="140" t="s">
        <v>85</v>
      </c>
      <c r="M5" s="139" t="s">
        <v>97</v>
      </c>
      <c r="N5" s="139"/>
      <c r="O5" s="139"/>
      <c r="P5" s="139"/>
    </row>
    <row r="6" spans="1:16" x14ac:dyDescent="0.25">
      <c r="A6" s="143"/>
      <c r="B6" s="140"/>
      <c r="C6" s="146"/>
      <c r="D6" s="140"/>
      <c r="E6" s="140"/>
      <c r="F6" s="140"/>
      <c r="G6" s="141" t="s">
        <v>86</v>
      </c>
      <c r="H6" s="140" t="s">
        <v>87</v>
      </c>
      <c r="I6" s="140"/>
      <c r="J6" s="140" t="s">
        <v>88</v>
      </c>
      <c r="K6" s="141" t="s">
        <v>89</v>
      </c>
      <c r="L6" s="140"/>
      <c r="M6" s="142" t="s">
        <v>90</v>
      </c>
      <c r="N6" s="142"/>
      <c r="O6" s="142" t="s">
        <v>91</v>
      </c>
      <c r="P6" s="142"/>
    </row>
    <row r="7" spans="1:16" x14ac:dyDescent="0.25">
      <c r="A7" s="143"/>
      <c r="B7" s="140"/>
      <c r="C7" s="146"/>
      <c r="D7" s="140"/>
      <c r="E7" s="140"/>
      <c r="F7" s="140"/>
      <c r="G7" s="141"/>
      <c r="H7" s="140"/>
      <c r="I7" s="140"/>
      <c r="J7" s="140"/>
      <c r="K7" s="141"/>
      <c r="L7" s="140"/>
      <c r="M7" s="143" t="s">
        <v>92</v>
      </c>
      <c r="N7" s="140" t="s">
        <v>9</v>
      </c>
      <c r="O7" s="143" t="s">
        <v>92</v>
      </c>
      <c r="P7" s="140" t="s">
        <v>9</v>
      </c>
    </row>
    <row r="8" spans="1:16" x14ac:dyDescent="0.25">
      <c r="A8" s="143"/>
      <c r="B8" s="140"/>
      <c r="C8" s="146"/>
      <c r="D8" s="140"/>
      <c r="E8" s="140"/>
      <c r="F8" s="140"/>
      <c r="G8" s="141"/>
      <c r="H8" s="140"/>
      <c r="I8" s="140"/>
      <c r="J8" s="140"/>
      <c r="K8" s="141"/>
      <c r="L8" s="140"/>
      <c r="M8" s="143"/>
      <c r="N8" s="140"/>
      <c r="O8" s="143"/>
      <c r="P8" s="140"/>
    </row>
    <row r="9" spans="1:16" ht="28.5" x14ac:dyDescent="0.25">
      <c r="A9" s="143"/>
      <c r="B9" s="140"/>
      <c r="C9" s="147"/>
      <c r="D9" s="140"/>
      <c r="E9" s="140"/>
      <c r="F9" s="140"/>
      <c r="G9" s="141"/>
      <c r="H9" s="28" t="s">
        <v>93</v>
      </c>
      <c r="I9" s="28" t="s">
        <v>94</v>
      </c>
      <c r="J9" s="140"/>
      <c r="K9" s="141"/>
      <c r="L9" s="140"/>
      <c r="M9" s="143"/>
      <c r="N9" s="140"/>
      <c r="O9" s="143"/>
      <c r="P9" s="140"/>
    </row>
    <row r="10" spans="1:16" ht="21" customHeight="1" x14ac:dyDescent="0.25">
      <c r="A10" s="26">
        <v>1</v>
      </c>
      <c r="B10" s="27" t="s">
        <v>11</v>
      </c>
      <c r="C10" s="68">
        <v>16</v>
      </c>
      <c r="D10" s="87">
        <v>469</v>
      </c>
      <c r="E10" s="87">
        <v>96177</v>
      </c>
      <c r="F10" s="87">
        <f>G10+H10+I10+J10+K10</f>
        <v>28902</v>
      </c>
      <c r="G10" s="87">
        <v>20384</v>
      </c>
      <c r="H10" s="87">
        <v>944</v>
      </c>
      <c r="I10" s="87">
        <v>3081</v>
      </c>
      <c r="J10" s="87">
        <v>2786</v>
      </c>
      <c r="K10" s="87">
        <v>1707</v>
      </c>
      <c r="L10" s="218">
        <v>132.94999999999999</v>
      </c>
      <c r="M10" s="84">
        <v>23032</v>
      </c>
      <c r="N10" s="219">
        <v>50.76</v>
      </c>
      <c r="O10" s="88">
        <v>5870</v>
      </c>
      <c r="P10" s="219">
        <v>82.19</v>
      </c>
    </row>
    <row r="11" spans="1:16" ht="21" customHeight="1" x14ac:dyDescent="0.25">
      <c r="A11" s="26">
        <v>2</v>
      </c>
      <c r="B11" s="27" t="s">
        <v>12</v>
      </c>
      <c r="C11" s="68">
        <v>6</v>
      </c>
      <c r="D11" s="87">
        <v>305</v>
      </c>
      <c r="E11" s="87">
        <v>59163</v>
      </c>
      <c r="F11" s="87">
        <f t="shared" ref="F11:F22" si="0">G11+H11+I11+J11+K11</f>
        <v>6556</v>
      </c>
      <c r="G11" s="87">
        <v>4368</v>
      </c>
      <c r="H11" s="87">
        <v>204</v>
      </c>
      <c r="I11" s="87">
        <v>1536</v>
      </c>
      <c r="J11" s="87">
        <v>259</v>
      </c>
      <c r="K11" s="87">
        <v>189</v>
      </c>
      <c r="L11" s="218">
        <v>62.23</v>
      </c>
      <c r="M11" s="84">
        <v>5916</v>
      </c>
      <c r="N11" s="219">
        <v>49.96</v>
      </c>
      <c r="O11" s="88">
        <v>440</v>
      </c>
      <c r="P11" s="219">
        <v>12.27</v>
      </c>
    </row>
    <row r="12" spans="1:16" ht="21" customHeight="1" x14ac:dyDescent="0.25">
      <c r="A12" s="26">
        <v>3</v>
      </c>
      <c r="B12" s="27" t="s">
        <v>13</v>
      </c>
      <c r="C12" s="68">
        <v>19</v>
      </c>
      <c r="D12" s="87">
        <v>934</v>
      </c>
      <c r="E12" s="87">
        <v>170383</v>
      </c>
      <c r="F12" s="87">
        <f t="shared" si="0"/>
        <v>24996</v>
      </c>
      <c r="G12" s="87">
        <v>16688</v>
      </c>
      <c r="H12" s="87">
        <v>1092</v>
      </c>
      <c r="I12" s="87">
        <v>3615</v>
      </c>
      <c r="J12" s="87">
        <v>1634</v>
      </c>
      <c r="K12" s="87">
        <v>1967</v>
      </c>
      <c r="L12" s="218">
        <v>190.51</v>
      </c>
      <c r="M12" s="84">
        <v>20400</v>
      </c>
      <c r="N12" s="219">
        <v>140.21</v>
      </c>
      <c r="O12" s="88">
        <v>4596</v>
      </c>
      <c r="P12" s="219">
        <v>53.6</v>
      </c>
    </row>
    <row r="13" spans="1:16" ht="21" customHeight="1" x14ac:dyDescent="0.25">
      <c r="A13" s="26">
        <v>4</v>
      </c>
      <c r="B13" s="27" t="s">
        <v>14</v>
      </c>
      <c r="C13" s="68">
        <v>28</v>
      </c>
      <c r="D13" s="87">
        <v>941</v>
      </c>
      <c r="E13" s="87">
        <v>210055</v>
      </c>
      <c r="F13" s="87">
        <f t="shared" si="0"/>
        <v>16881</v>
      </c>
      <c r="G13" s="87">
        <v>7350</v>
      </c>
      <c r="H13" s="87">
        <v>254</v>
      </c>
      <c r="I13" s="87">
        <v>4127</v>
      </c>
      <c r="J13" s="87">
        <v>2064</v>
      </c>
      <c r="K13" s="87">
        <v>3086</v>
      </c>
      <c r="L13" s="218">
        <v>302.60000000000002</v>
      </c>
      <c r="M13" s="84">
        <v>8622</v>
      </c>
      <c r="N13" s="219">
        <v>12.84</v>
      </c>
      <c r="O13" s="88">
        <v>8259</v>
      </c>
      <c r="P13" s="219">
        <v>289.76</v>
      </c>
    </row>
    <row r="14" spans="1:16" ht="21" customHeight="1" x14ac:dyDescent="0.25">
      <c r="A14" s="26">
        <v>5</v>
      </c>
      <c r="B14" s="27" t="s">
        <v>15</v>
      </c>
      <c r="C14" s="68">
        <v>32</v>
      </c>
      <c r="D14" s="87">
        <v>1897</v>
      </c>
      <c r="E14" s="87">
        <v>360147</v>
      </c>
      <c r="F14" s="87">
        <f t="shared" si="0"/>
        <v>19002</v>
      </c>
      <c r="G14" s="87">
        <v>7256</v>
      </c>
      <c r="H14" s="87">
        <v>2066</v>
      </c>
      <c r="I14" s="87">
        <v>2061</v>
      </c>
      <c r="J14" s="87">
        <v>1158</v>
      </c>
      <c r="K14" s="87">
        <v>6461</v>
      </c>
      <c r="L14" s="218">
        <v>179.23</v>
      </c>
      <c r="M14" s="84">
        <v>10673</v>
      </c>
      <c r="N14" s="219">
        <v>132.41</v>
      </c>
      <c r="O14" s="88">
        <v>8329</v>
      </c>
      <c r="P14" s="219">
        <v>46.82</v>
      </c>
    </row>
    <row r="15" spans="1:16" ht="21" customHeight="1" x14ac:dyDescent="0.25">
      <c r="A15" s="26">
        <v>6</v>
      </c>
      <c r="B15" s="27" t="s">
        <v>19</v>
      </c>
      <c r="C15" s="68">
        <v>10</v>
      </c>
      <c r="D15" s="87">
        <v>1099</v>
      </c>
      <c r="E15" s="87">
        <v>82438</v>
      </c>
      <c r="F15" s="87">
        <f t="shared" ref="F15:F16" si="1">G15+H15+I15+J15+K15</f>
        <v>10088</v>
      </c>
      <c r="G15" s="87">
        <v>2772</v>
      </c>
      <c r="H15" s="87">
        <v>127</v>
      </c>
      <c r="I15" s="87">
        <v>3977</v>
      </c>
      <c r="J15" s="87">
        <v>954</v>
      </c>
      <c r="K15" s="87">
        <v>2258</v>
      </c>
      <c r="L15" s="218">
        <v>4261.49</v>
      </c>
      <c r="M15" s="84">
        <v>6950</v>
      </c>
      <c r="N15" s="219">
        <v>227.66</v>
      </c>
      <c r="O15" s="88">
        <v>3011</v>
      </c>
      <c r="P15" s="219">
        <v>214.92</v>
      </c>
    </row>
    <row r="16" spans="1:16" ht="21" customHeight="1" x14ac:dyDescent="0.25">
      <c r="A16" s="26">
        <v>7</v>
      </c>
      <c r="B16" s="27" t="s">
        <v>18</v>
      </c>
      <c r="C16" s="68">
        <v>22</v>
      </c>
      <c r="D16" s="87">
        <v>1474</v>
      </c>
      <c r="E16" s="87">
        <v>267723</v>
      </c>
      <c r="F16" s="87">
        <f t="shared" si="1"/>
        <v>11362</v>
      </c>
      <c r="G16" s="87">
        <v>6584</v>
      </c>
      <c r="H16" s="87">
        <v>194</v>
      </c>
      <c r="I16" s="87">
        <v>1452</v>
      </c>
      <c r="J16" s="87">
        <v>408</v>
      </c>
      <c r="K16" s="87">
        <v>2724</v>
      </c>
      <c r="L16" s="218">
        <v>235.22</v>
      </c>
      <c r="M16" s="84">
        <v>8117</v>
      </c>
      <c r="N16" s="219">
        <v>65.36</v>
      </c>
      <c r="O16" s="88">
        <v>3056</v>
      </c>
      <c r="P16" s="219">
        <v>169.86</v>
      </c>
    </row>
    <row r="17" spans="1:18" ht="21" customHeight="1" x14ac:dyDescent="0.25">
      <c r="A17" s="26">
        <v>8</v>
      </c>
      <c r="B17" s="27" t="s">
        <v>16</v>
      </c>
      <c r="C17" s="68">
        <v>23</v>
      </c>
      <c r="D17" s="87">
        <v>1010</v>
      </c>
      <c r="E17" s="87">
        <v>278628</v>
      </c>
      <c r="F17" s="87">
        <f t="shared" si="0"/>
        <v>30182</v>
      </c>
      <c r="G17" s="87">
        <v>14420</v>
      </c>
      <c r="H17" s="87">
        <v>786</v>
      </c>
      <c r="I17" s="87">
        <v>3017</v>
      </c>
      <c r="J17" s="87">
        <v>3146</v>
      </c>
      <c r="K17" s="87">
        <v>8813</v>
      </c>
      <c r="L17" s="218">
        <v>256.76</v>
      </c>
      <c r="M17" s="84">
        <v>14626</v>
      </c>
      <c r="N17" s="219">
        <v>8.25</v>
      </c>
      <c r="O17" s="88">
        <v>15556</v>
      </c>
      <c r="P17" s="219">
        <v>248.51</v>
      </c>
    </row>
    <row r="18" spans="1:18" ht="21" customHeight="1" x14ac:dyDescent="0.25">
      <c r="A18" s="26">
        <v>9</v>
      </c>
      <c r="B18" s="27" t="s">
        <v>17</v>
      </c>
      <c r="C18" s="68">
        <v>13</v>
      </c>
      <c r="D18" s="87">
        <v>533</v>
      </c>
      <c r="E18" s="87">
        <v>123667</v>
      </c>
      <c r="F18" s="87">
        <f t="shared" si="0"/>
        <v>23500</v>
      </c>
      <c r="G18" s="87">
        <v>8288</v>
      </c>
      <c r="H18" s="87">
        <v>121</v>
      </c>
      <c r="I18" s="87">
        <v>4146</v>
      </c>
      <c r="J18" s="87">
        <v>3402</v>
      </c>
      <c r="K18" s="87">
        <v>7543</v>
      </c>
      <c r="L18" s="218">
        <v>295.15300000000002</v>
      </c>
      <c r="M18" s="84">
        <v>20806</v>
      </c>
      <c r="N18" s="219">
        <v>242.62</v>
      </c>
      <c r="O18" s="88">
        <v>2694</v>
      </c>
      <c r="P18" s="219">
        <v>52.53</v>
      </c>
      <c r="Q18" s="25"/>
      <c r="R18" s="25"/>
    </row>
    <row r="19" spans="1:18" ht="21" customHeight="1" x14ac:dyDescent="0.25">
      <c r="A19" s="26">
        <v>10</v>
      </c>
      <c r="B19" s="27" t="s">
        <v>20</v>
      </c>
      <c r="C19" s="68">
        <v>23</v>
      </c>
      <c r="D19" s="87">
        <v>1340</v>
      </c>
      <c r="E19" s="87">
        <v>324020</v>
      </c>
      <c r="F19" s="87">
        <f t="shared" si="0"/>
        <v>57297</v>
      </c>
      <c r="G19" s="87">
        <v>28356</v>
      </c>
      <c r="H19" s="87">
        <v>4565</v>
      </c>
      <c r="I19" s="87">
        <v>6704</v>
      </c>
      <c r="J19" s="87">
        <v>5293</v>
      </c>
      <c r="K19" s="87">
        <v>12379</v>
      </c>
      <c r="L19" s="218">
        <v>1641.04</v>
      </c>
      <c r="M19" s="84">
        <v>35070</v>
      </c>
      <c r="N19" s="219">
        <v>468.01</v>
      </c>
      <c r="O19" s="88">
        <v>22227</v>
      </c>
      <c r="P19" s="219">
        <v>1173.03</v>
      </c>
      <c r="R19" s="25"/>
    </row>
    <row r="20" spans="1:18" ht="21" customHeight="1" x14ac:dyDescent="0.25">
      <c r="A20" s="26">
        <v>11</v>
      </c>
      <c r="B20" s="27" t="s">
        <v>21</v>
      </c>
      <c r="C20" s="68">
        <v>25</v>
      </c>
      <c r="D20" s="87">
        <v>1307</v>
      </c>
      <c r="E20" s="87">
        <v>306198</v>
      </c>
      <c r="F20" s="87">
        <f t="shared" si="0"/>
        <v>40041</v>
      </c>
      <c r="G20" s="87">
        <v>30288</v>
      </c>
      <c r="H20" s="87">
        <v>103</v>
      </c>
      <c r="I20" s="87">
        <v>1272</v>
      </c>
      <c r="J20" s="87">
        <v>3115</v>
      </c>
      <c r="K20" s="87">
        <v>5263</v>
      </c>
      <c r="L20" s="218">
        <v>420.93799999999999</v>
      </c>
      <c r="M20" s="84">
        <v>31300</v>
      </c>
      <c r="N20" s="219">
        <v>17.899999999999999</v>
      </c>
      <c r="O20" s="88">
        <v>8741</v>
      </c>
      <c r="P20" s="219">
        <v>403.04</v>
      </c>
      <c r="R20" s="25"/>
    </row>
    <row r="21" spans="1:18" ht="21" customHeight="1" x14ac:dyDescent="0.25">
      <c r="A21" s="26">
        <v>12</v>
      </c>
      <c r="B21" s="27" t="s">
        <v>22</v>
      </c>
      <c r="C21" s="68">
        <v>20</v>
      </c>
      <c r="D21" s="87">
        <v>1523</v>
      </c>
      <c r="E21" s="87">
        <v>280447</v>
      </c>
      <c r="F21" s="87">
        <f t="shared" ref="F21" si="2">G21+H21+I21+J21+K21</f>
        <v>32765</v>
      </c>
      <c r="G21" s="87">
        <v>11976</v>
      </c>
      <c r="H21" s="87">
        <v>402</v>
      </c>
      <c r="I21" s="87">
        <v>3217</v>
      </c>
      <c r="J21" s="87">
        <v>7675</v>
      </c>
      <c r="K21" s="87">
        <v>9495</v>
      </c>
      <c r="L21" s="218">
        <v>597.54999999999995</v>
      </c>
      <c r="M21" s="84">
        <v>17174</v>
      </c>
      <c r="N21" s="219">
        <v>284.41000000000003</v>
      </c>
      <c r="O21" s="88">
        <v>15591</v>
      </c>
      <c r="P21" s="219">
        <v>313.14</v>
      </c>
      <c r="R21" s="25"/>
    </row>
    <row r="22" spans="1:18" ht="21" customHeight="1" x14ac:dyDescent="0.25">
      <c r="A22" s="26">
        <v>13</v>
      </c>
      <c r="B22" s="27" t="s">
        <v>10</v>
      </c>
      <c r="C22" s="68">
        <v>6</v>
      </c>
      <c r="D22" s="87">
        <v>684</v>
      </c>
      <c r="E22" s="87">
        <v>129318</v>
      </c>
      <c r="F22" s="87">
        <f t="shared" si="0"/>
        <v>8184</v>
      </c>
      <c r="G22" s="87">
        <v>6040</v>
      </c>
      <c r="H22" s="87">
        <v>453</v>
      </c>
      <c r="I22" s="87">
        <v>630</v>
      </c>
      <c r="J22" s="87">
        <v>399</v>
      </c>
      <c r="K22" s="87">
        <v>662</v>
      </c>
      <c r="L22" s="218">
        <v>181.66</v>
      </c>
      <c r="M22" s="84">
        <v>7579</v>
      </c>
      <c r="N22" s="219">
        <v>66.75</v>
      </c>
      <c r="O22" s="88">
        <v>605</v>
      </c>
      <c r="P22" s="219">
        <v>114.77</v>
      </c>
      <c r="R22" s="25"/>
    </row>
    <row r="23" spans="1:18" ht="21" customHeight="1" x14ac:dyDescent="0.25">
      <c r="A23" s="139" t="s">
        <v>95</v>
      </c>
      <c r="B23" s="139"/>
      <c r="C23" s="69">
        <f>SUM(C10:C22)</f>
        <v>243</v>
      </c>
      <c r="D23" s="89">
        <f>SUM(D10:D22)</f>
        <v>13516</v>
      </c>
      <c r="E23" s="89">
        <f>SUM(E10:E22)</f>
        <v>2688364</v>
      </c>
      <c r="F23" s="89">
        <f>SUM(F10:F22)</f>
        <v>309756</v>
      </c>
      <c r="G23" s="89">
        <f>SUM(G10:G22)</f>
        <v>164770</v>
      </c>
      <c r="H23" s="89">
        <f>SUM(H10:H22)</f>
        <v>11311</v>
      </c>
      <c r="I23" s="89">
        <f>SUM(I10:I22)</f>
        <v>38835</v>
      </c>
      <c r="J23" s="89">
        <f>SUM(J10:J22)</f>
        <v>32293</v>
      </c>
      <c r="K23" s="89">
        <f>SUM(K10:K22)</f>
        <v>62547</v>
      </c>
      <c r="L23" s="220">
        <f>SUM(L10:L22)</f>
        <v>8757.3310000000001</v>
      </c>
      <c r="M23" s="89">
        <f>SUM(M10:M22)</f>
        <v>210265</v>
      </c>
      <c r="N23" s="220">
        <f>SUM(N10:N22)</f>
        <v>1767.14</v>
      </c>
      <c r="O23" s="89">
        <f>SUM(O10:O22)</f>
        <v>98975</v>
      </c>
      <c r="P23" s="220">
        <f>SUM(P10:P22)</f>
        <v>3174.4399999999996</v>
      </c>
    </row>
    <row r="25" spans="1:18" x14ac:dyDescent="0.25">
      <c r="E25" s="46"/>
      <c r="H25" s="46"/>
      <c r="J25" s="46"/>
      <c r="K25" s="46"/>
    </row>
    <row r="26" spans="1:18" x14ac:dyDescent="0.25">
      <c r="H26" s="46"/>
      <c r="J26" s="46"/>
      <c r="K26" s="46"/>
    </row>
  </sheetData>
  <mergeCells count="22">
    <mergeCell ref="G5:K5"/>
    <mergeCell ref="A2:P2"/>
    <mergeCell ref="A3:P3"/>
    <mergeCell ref="C5:C9"/>
    <mergeCell ref="O7:O9"/>
    <mergeCell ref="P7:P9"/>
    <mergeCell ref="A23:B23"/>
    <mergeCell ref="L5:L9"/>
    <mergeCell ref="M5:P5"/>
    <mergeCell ref="G6:G9"/>
    <mergeCell ref="H6:I8"/>
    <mergeCell ref="J6:J9"/>
    <mergeCell ref="K6:K9"/>
    <mergeCell ref="M6:N6"/>
    <mergeCell ref="O6:P6"/>
    <mergeCell ref="M7:M9"/>
    <mergeCell ref="N7:N9"/>
    <mergeCell ref="A5:A9"/>
    <mergeCell ref="B5:B9"/>
    <mergeCell ref="D5:D9"/>
    <mergeCell ref="E5:E9"/>
    <mergeCell ref="F5:F9"/>
  </mergeCells>
  <printOptions horizontalCentered="1"/>
  <pageMargins left="0.43307086614173229" right="0.19685039370078741" top="0.43" bottom="0.23622047244094491" header="0.32" footer="0.31496062992125984"/>
  <pageSetup paperSize="9" scale="90" firstPageNumber="30" orientation="landscape"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G6" sqref="G6"/>
    </sheetView>
  </sheetViews>
  <sheetFormatPr defaultRowHeight="15.75" x14ac:dyDescent="0.25"/>
  <cols>
    <col min="1" max="1" width="6" customWidth="1"/>
    <col min="2" max="2" width="23.875" customWidth="1"/>
    <col min="3" max="3" width="21.875" customWidth="1"/>
    <col min="4" max="4" width="38.375" customWidth="1"/>
  </cols>
  <sheetData>
    <row r="1" spans="1:10" x14ac:dyDescent="0.25">
      <c r="A1" s="148" t="s">
        <v>219</v>
      </c>
      <c r="B1" s="148"/>
      <c r="C1" s="148"/>
      <c r="D1" s="148"/>
      <c r="E1" s="75"/>
      <c r="F1" s="75"/>
      <c r="G1" s="75"/>
      <c r="H1" s="75"/>
      <c r="I1" s="75"/>
      <c r="J1" s="75"/>
    </row>
    <row r="3" spans="1:10" ht="46.5" customHeight="1" x14ac:dyDescent="0.25">
      <c r="A3" s="73" t="s">
        <v>28</v>
      </c>
      <c r="B3" s="73" t="s">
        <v>169</v>
      </c>
      <c r="C3" s="73" t="s">
        <v>170</v>
      </c>
      <c r="D3" s="73" t="s">
        <v>171</v>
      </c>
    </row>
    <row r="4" spans="1:10" ht="36" customHeight="1" x14ac:dyDescent="0.25">
      <c r="A4" s="149">
        <v>1</v>
      </c>
      <c r="B4" s="152" t="s">
        <v>172</v>
      </c>
      <c r="C4" s="153" t="s">
        <v>173</v>
      </c>
      <c r="D4" s="74" t="s">
        <v>175</v>
      </c>
    </row>
    <row r="5" spans="1:10" ht="30" customHeight="1" x14ac:dyDescent="0.25">
      <c r="A5" s="149"/>
      <c r="B5" s="152"/>
      <c r="C5" s="155"/>
      <c r="D5" s="74" t="s">
        <v>176</v>
      </c>
    </row>
    <row r="6" spans="1:10" ht="33.75" customHeight="1" x14ac:dyDescent="0.25">
      <c r="A6" s="149"/>
      <c r="B6" s="152"/>
      <c r="C6" s="154"/>
      <c r="D6" s="74" t="s">
        <v>177</v>
      </c>
    </row>
    <row r="7" spans="1:10" ht="37.5" customHeight="1" x14ac:dyDescent="0.25">
      <c r="A7" s="149" t="s">
        <v>178</v>
      </c>
      <c r="B7" s="152" t="s">
        <v>179</v>
      </c>
      <c r="C7" s="153" t="s">
        <v>173</v>
      </c>
      <c r="D7" s="74" t="s">
        <v>180</v>
      </c>
    </row>
    <row r="8" spans="1:10" ht="30" customHeight="1" x14ac:dyDescent="0.25">
      <c r="A8" s="149"/>
      <c r="B8" s="152"/>
      <c r="C8" s="154"/>
      <c r="D8" s="74" t="s">
        <v>181</v>
      </c>
    </row>
    <row r="9" spans="1:10" ht="30" customHeight="1" x14ac:dyDescent="0.25">
      <c r="A9" s="149">
        <v>3</v>
      </c>
      <c r="B9" s="152" t="s">
        <v>182</v>
      </c>
      <c r="C9" s="4" t="s">
        <v>173</v>
      </c>
      <c r="D9" s="74" t="s">
        <v>183</v>
      </c>
    </row>
    <row r="10" spans="1:10" ht="30" customHeight="1" x14ac:dyDescent="0.25">
      <c r="A10" s="149"/>
      <c r="B10" s="152"/>
      <c r="C10" s="4" t="s">
        <v>174</v>
      </c>
      <c r="D10" s="74" t="s">
        <v>184</v>
      </c>
    </row>
    <row r="11" spans="1:10" ht="30" customHeight="1" x14ac:dyDescent="0.25">
      <c r="A11" s="149">
        <v>4</v>
      </c>
      <c r="B11" s="152" t="s">
        <v>185</v>
      </c>
      <c r="C11" s="153" t="s">
        <v>174</v>
      </c>
      <c r="D11" s="152" t="s">
        <v>186</v>
      </c>
    </row>
    <row r="12" spans="1:10" ht="30" customHeight="1" x14ac:dyDescent="0.25">
      <c r="A12" s="149"/>
      <c r="B12" s="152"/>
      <c r="C12" s="154"/>
      <c r="D12" s="152"/>
    </row>
    <row r="13" spans="1:10" ht="36.75" customHeight="1" x14ac:dyDescent="0.25">
      <c r="A13" s="149" t="s">
        <v>187</v>
      </c>
      <c r="B13" s="152" t="s">
        <v>188</v>
      </c>
      <c r="C13" s="151" t="s">
        <v>174</v>
      </c>
      <c r="D13" s="74" t="s">
        <v>189</v>
      </c>
    </row>
    <row r="14" spans="1:10" ht="43.5" customHeight="1" x14ac:dyDescent="0.25">
      <c r="A14" s="149"/>
      <c r="B14" s="152"/>
      <c r="C14" s="151"/>
      <c r="D14" s="74" t="s">
        <v>190</v>
      </c>
    </row>
    <row r="15" spans="1:10" ht="44.25" customHeight="1" x14ac:dyDescent="0.25">
      <c r="A15" s="149" t="s">
        <v>191</v>
      </c>
      <c r="B15" s="152" t="s">
        <v>192</v>
      </c>
      <c r="C15" s="151" t="s">
        <v>174</v>
      </c>
      <c r="D15" s="74" t="s">
        <v>193</v>
      </c>
    </row>
    <row r="16" spans="1:10" ht="48" customHeight="1" x14ac:dyDescent="0.25">
      <c r="A16" s="149"/>
      <c r="B16" s="152"/>
      <c r="C16" s="151"/>
      <c r="D16" s="74" t="s">
        <v>194</v>
      </c>
    </row>
    <row r="17" spans="1:4" ht="30" customHeight="1" x14ac:dyDescent="0.25">
      <c r="A17" s="149" t="s">
        <v>195</v>
      </c>
      <c r="B17" s="150" t="s">
        <v>196</v>
      </c>
      <c r="C17" s="151" t="s">
        <v>174</v>
      </c>
      <c r="D17" s="74" t="s">
        <v>197</v>
      </c>
    </row>
    <row r="18" spans="1:4" ht="36.75" customHeight="1" x14ac:dyDescent="0.25">
      <c r="A18" s="149"/>
      <c r="B18" s="150"/>
      <c r="C18" s="151"/>
      <c r="D18" s="74" t="s">
        <v>198</v>
      </c>
    </row>
    <row r="19" spans="1:4" ht="30" customHeight="1" x14ac:dyDescent="0.25">
      <c r="A19" s="149">
        <v>8</v>
      </c>
      <c r="B19" s="150" t="s">
        <v>199</v>
      </c>
      <c r="C19" s="4" t="s">
        <v>174</v>
      </c>
      <c r="D19" s="74" t="s">
        <v>201</v>
      </c>
    </row>
    <row r="20" spans="1:4" ht="30" customHeight="1" x14ac:dyDescent="0.25">
      <c r="A20" s="149"/>
      <c r="B20" s="150"/>
      <c r="C20" s="4" t="s">
        <v>200</v>
      </c>
      <c r="D20" s="74" t="s">
        <v>202</v>
      </c>
    </row>
    <row r="21" spans="1:4" ht="30" customHeight="1" x14ac:dyDescent="0.25">
      <c r="A21" s="149">
        <v>9</v>
      </c>
      <c r="B21" s="150" t="s">
        <v>203</v>
      </c>
      <c r="C21" s="4" t="s">
        <v>200</v>
      </c>
      <c r="D21" s="74" t="s">
        <v>204</v>
      </c>
    </row>
    <row r="22" spans="1:4" ht="30" customHeight="1" x14ac:dyDescent="0.25">
      <c r="A22" s="149"/>
      <c r="B22" s="150"/>
      <c r="C22" s="4" t="s">
        <v>174</v>
      </c>
      <c r="D22" s="74" t="s">
        <v>205</v>
      </c>
    </row>
    <row r="23" spans="1:4" ht="30" customHeight="1" x14ac:dyDescent="0.25">
      <c r="A23" s="149">
        <v>10</v>
      </c>
      <c r="B23" s="150" t="s">
        <v>206</v>
      </c>
      <c r="C23" s="151" t="s">
        <v>174</v>
      </c>
      <c r="D23" s="74" t="s">
        <v>207</v>
      </c>
    </row>
    <row r="24" spans="1:4" ht="36.75" customHeight="1" x14ac:dyDescent="0.25">
      <c r="A24" s="149"/>
      <c r="B24" s="150"/>
      <c r="C24" s="151"/>
      <c r="D24" s="74" t="s">
        <v>208</v>
      </c>
    </row>
    <row r="25" spans="1:4" ht="30" customHeight="1" x14ac:dyDescent="0.25">
      <c r="A25" s="149">
        <v>11</v>
      </c>
      <c r="B25" s="150" t="s">
        <v>209</v>
      </c>
      <c r="C25" s="4" t="s">
        <v>173</v>
      </c>
      <c r="D25" s="74" t="s">
        <v>210</v>
      </c>
    </row>
    <row r="26" spans="1:4" ht="39.75" customHeight="1" x14ac:dyDescent="0.25">
      <c r="A26" s="149"/>
      <c r="B26" s="150"/>
      <c r="C26" s="153" t="s">
        <v>174</v>
      </c>
      <c r="D26" s="74" t="s">
        <v>211</v>
      </c>
    </row>
    <row r="27" spans="1:4" ht="36" customHeight="1" x14ac:dyDescent="0.25">
      <c r="A27" s="149"/>
      <c r="B27" s="150"/>
      <c r="C27" s="154"/>
      <c r="D27" s="74" t="s">
        <v>212</v>
      </c>
    </row>
    <row r="28" spans="1:4" ht="30" customHeight="1" x14ac:dyDescent="0.25">
      <c r="A28" s="149">
        <v>12</v>
      </c>
      <c r="B28" s="150" t="s">
        <v>213</v>
      </c>
      <c r="C28" s="151" t="s">
        <v>173</v>
      </c>
      <c r="D28" s="8" t="s">
        <v>214</v>
      </c>
    </row>
    <row r="29" spans="1:4" ht="37.5" customHeight="1" x14ac:dyDescent="0.25">
      <c r="A29" s="149"/>
      <c r="B29" s="150"/>
      <c r="C29" s="151"/>
      <c r="D29" s="8" t="s">
        <v>215</v>
      </c>
    </row>
    <row r="30" spans="1:4" ht="80.25" customHeight="1" x14ac:dyDescent="0.25">
      <c r="A30" s="3" t="s">
        <v>216</v>
      </c>
      <c r="B30" s="8" t="s">
        <v>217</v>
      </c>
      <c r="C30" s="4" t="s">
        <v>174</v>
      </c>
      <c r="D30" s="8" t="s">
        <v>218</v>
      </c>
    </row>
  </sheetData>
  <mergeCells count="35">
    <mergeCell ref="B7:B8"/>
    <mergeCell ref="C4:C6"/>
    <mergeCell ref="A17:A18"/>
    <mergeCell ref="B17:B18"/>
    <mergeCell ref="C17:C18"/>
    <mergeCell ref="A13:A14"/>
    <mergeCell ref="B13:B14"/>
    <mergeCell ref="C7:C8"/>
    <mergeCell ref="A28:A29"/>
    <mergeCell ref="B28:B29"/>
    <mergeCell ref="C28:C29"/>
    <mergeCell ref="A19:A20"/>
    <mergeCell ref="B19:B20"/>
    <mergeCell ref="A21:A22"/>
    <mergeCell ref="B21:B22"/>
    <mergeCell ref="A23:A24"/>
    <mergeCell ref="B23:B24"/>
    <mergeCell ref="C23:C24"/>
    <mergeCell ref="C26:C27"/>
    <mergeCell ref="A1:D1"/>
    <mergeCell ref="A25:A27"/>
    <mergeCell ref="B25:B27"/>
    <mergeCell ref="C13:C14"/>
    <mergeCell ref="A15:A16"/>
    <mergeCell ref="B15:B16"/>
    <mergeCell ref="C15:C16"/>
    <mergeCell ref="B9:B10"/>
    <mergeCell ref="A11:A12"/>
    <mergeCell ref="B11:B12"/>
    <mergeCell ref="C11:C12"/>
    <mergeCell ref="D11:D12"/>
    <mergeCell ref="A4:A6"/>
    <mergeCell ref="B4:B6"/>
    <mergeCell ref="A9:A10"/>
    <mergeCell ref="A7:A8"/>
  </mergeCells>
  <printOptions horizontalCentered="1"/>
  <pageMargins left="0.43307086614173229" right="0.19685039370078741" top="0.70866141732283472" bottom="1.26" header="0.31496062992125984" footer="0.52"/>
  <pageSetup paperSize="9" firstPageNumber="31"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13" workbookViewId="0">
      <selection activeCell="E22" sqref="E22"/>
    </sheetView>
  </sheetViews>
  <sheetFormatPr defaultRowHeight="15.75" x14ac:dyDescent="0.25"/>
  <cols>
    <col min="1" max="1" width="4.75" customWidth="1"/>
    <col min="2" max="2" width="15.5" customWidth="1"/>
    <col min="3" max="3" width="12.5" style="47" customWidth="1"/>
    <col min="4" max="4" width="20.625" customWidth="1"/>
    <col min="5" max="5" width="28.375" customWidth="1"/>
  </cols>
  <sheetData>
    <row r="1" spans="1:5" x14ac:dyDescent="0.25">
      <c r="A1" s="137" t="s">
        <v>220</v>
      </c>
      <c r="B1" s="137"/>
      <c r="C1" s="137"/>
      <c r="D1" s="137"/>
      <c r="E1" s="137"/>
    </row>
    <row r="3" spans="1:5" ht="53.25" customHeight="1" x14ac:dyDescent="0.25">
      <c r="A3" s="6" t="s">
        <v>1</v>
      </c>
      <c r="B3" s="6" t="s">
        <v>2</v>
      </c>
      <c r="C3" s="72" t="s">
        <v>79</v>
      </c>
      <c r="D3" s="6" t="s">
        <v>77</v>
      </c>
      <c r="E3" s="6" t="s">
        <v>0</v>
      </c>
    </row>
    <row r="4" spans="1:5" ht="22.5" customHeight="1" x14ac:dyDescent="0.25">
      <c r="A4" s="6" t="s">
        <v>72</v>
      </c>
      <c r="B4" s="23" t="s">
        <v>10</v>
      </c>
      <c r="C4" s="85">
        <f>SUM(C5:C10)</f>
        <v>7121</v>
      </c>
      <c r="D4" s="3"/>
      <c r="E4" s="7"/>
    </row>
    <row r="5" spans="1:5" ht="31.5" x14ac:dyDescent="0.25">
      <c r="A5" s="3">
        <v>1</v>
      </c>
      <c r="B5" s="4" t="s">
        <v>49</v>
      </c>
      <c r="C5" s="83">
        <v>1033</v>
      </c>
      <c r="D5" s="3" t="s">
        <v>68</v>
      </c>
      <c r="E5" s="54" t="s">
        <v>137</v>
      </c>
    </row>
    <row r="6" spans="1:5" ht="31.5" x14ac:dyDescent="0.25">
      <c r="A6" s="3">
        <v>2</v>
      </c>
      <c r="B6" s="4" t="s">
        <v>50</v>
      </c>
      <c r="C6" s="83">
        <v>600</v>
      </c>
      <c r="D6" s="3" t="s">
        <v>68</v>
      </c>
      <c r="E6" s="54" t="s">
        <v>137</v>
      </c>
    </row>
    <row r="7" spans="1:5" ht="31.5" x14ac:dyDescent="0.25">
      <c r="A7" s="3">
        <v>3</v>
      </c>
      <c r="B7" s="4" t="s">
        <v>51</v>
      </c>
      <c r="C7" s="83">
        <v>498</v>
      </c>
      <c r="D7" s="3" t="s">
        <v>68</v>
      </c>
      <c r="E7" s="54" t="s">
        <v>137</v>
      </c>
    </row>
    <row r="8" spans="1:5" ht="31.5" x14ac:dyDescent="0.25">
      <c r="A8" s="3">
        <v>4</v>
      </c>
      <c r="B8" s="4" t="s">
        <v>52</v>
      </c>
      <c r="C8" s="83">
        <v>2100</v>
      </c>
      <c r="D8" s="3" t="s">
        <v>68</v>
      </c>
      <c r="E8" s="54" t="s">
        <v>137</v>
      </c>
    </row>
    <row r="9" spans="1:5" ht="31.5" x14ac:dyDescent="0.25">
      <c r="A9" s="3">
        <v>5</v>
      </c>
      <c r="B9" s="4" t="s">
        <v>53</v>
      </c>
      <c r="C9" s="83">
        <v>2600</v>
      </c>
      <c r="D9" s="3" t="s">
        <v>68</v>
      </c>
      <c r="E9" s="54" t="s">
        <v>137</v>
      </c>
    </row>
    <row r="10" spans="1:5" ht="31.5" x14ac:dyDescent="0.25">
      <c r="A10" s="3">
        <v>6</v>
      </c>
      <c r="B10" s="4" t="s">
        <v>54</v>
      </c>
      <c r="C10" s="83">
        <v>290</v>
      </c>
      <c r="D10" s="3" t="s">
        <v>68</v>
      </c>
      <c r="E10" s="54" t="s">
        <v>137</v>
      </c>
    </row>
    <row r="11" spans="1:5" x14ac:dyDescent="0.25">
      <c r="A11" s="6" t="s">
        <v>73</v>
      </c>
      <c r="B11" s="23" t="s">
        <v>22</v>
      </c>
      <c r="C11" s="86">
        <f>C12</f>
        <v>1050</v>
      </c>
      <c r="D11" s="3"/>
      <c r="E11" s="7"/>
    </row>
    <row r="12" spans="1:5" ht="31.5" x14ac:dyDescent="0.25">
      <c r="A12" s="4">
        <v>1</v>
      </c>
      <c r="B12" s="4" t="s">
        <v>55</v>
      </c>
      <c r="C12" s="83">
        <v>1050</v>
      </c>
      <c r="D12" s="3" t="s">
        <v>70</v>
      </c>
      <c r="E12" s="54" t="s">
        <v>138</v>
      </c>
    </row>
    <row r="13" spans="1:5" x14ac:dyDescent="0.25">
      <c r="A13" s="6" t="s">
        <v>74</v>
      </c>
      <c r="B13" s="23" t="s">
        <v>20</v>
      </c>
      <c r="C13" s="85">
        <f>SUM(C14:C21)</f>
        <v>7851</v>
      </c>
      <c r="D13" s="3"/>
      <c r="E13" s="7"/>
    </row>
    <row r="14" spans="1:5" ht="31.5" x14ac:dyDescent="0.25">
      <c r="A14" s="3">
        <v>1</v>
      </c>
      <c r="B14" s="4" t="s">
        <v>56</v>
      </c>
      <c r="C14" s="83">
        <v>1107</v>
      </c>
      <c r="D14" s="3" t="s">
        <v>69</v>
      </c>
      <c r="E14" s="54" t="s">
        <v>137</v>
      </c>
    </row>
    <row r="15" spans="1:5" ht="31.5" x14ac:dyDescent="0.25">
      <c r="A15" s="3">
        <v>2</v>
      </c>
      <c r="B15" s="4" t="s">
        <v>57</v>
      </c>
      <c r="C15" s="83">
        <v>1192</v>
      </c>
      <c r="D15" s="3" t="s">
        <v>69</v>
      </c>
      <c r="E15" s="54" t="s">
        <v>137</v>
      </c>
    </row>
    <row r="16" spans="1:5" ht="31.5" x14ac:dyDescent="0.25">
      <c r="A16" s="3">
        <v>3</v>
      </c>
      <c r="B16" s="4" t="s">
        <v>58</v>
      </c>
      <c r="C16" s="83">
        <v>940</v>
      </c>
      <c r="D16" s="3" t="s">
        <v>69</v>
      </c>
      <c r="E16" s="54" t="s">
        <v>137</v>
      </c>
    </row>
    <row r="17" spans="1:5" ht="31.5" x14ac:dyDescent="0.25">
      <c r="A17" s="3">
        <v>4</v>
      </c>
      <c r="B17" s="4" t="s">
        <v>59</v>
      </c>
      <c r="C17" s="83">
        <v>1045</v>
      </c>
      <c r="D17" s="3" t="s">
        <v>69</v>
      </c>
      <c r="E17" s="54" t="s">
        <v>137</v>
      </c>
    </row>
    <row r="18" spans="1:5" ht="31.5" x14ac:dyDescent="0.25">
      <c r="A18" s="3">
        <v>5</v>
      </c>
      <c r="B18" s="4" t="s">
        <v>60</v>
      </c>
      <c r="C18" s="83">
        <v>875</v>
      </c>
      <c r="D18" s="3" t="s">
        <v>69</v>
      </c>
      <c r="E18" s="54" t="s">
        <v>137</v>
      </c>
    </row>
    <row r="19" spans="1:5" ht="31.5" x14ac:dyDescent="0.25">
      <c r="A19" s="3">
        <v>6</v>
      </c>
      <c r="B19" s="4" t="s">
        <v>61</v>
      </c>
      <c r="C19" s="83">
        <v>600</v>
      </c>
      <c r="D19" s="3" t="s">
        <v>69</v>
      </c>
      <c r="E19" s="54" t="s">
        <v>137</v>
      </c>
    </row>
    <row r="20" spans="1:5" ht="31.5" x14ac:dyDescent="0.25">
      <c r="A20" s="3">
        <v>7</v>
      </c>
      <c r="B20" s="4" t="s">
        <v>62</v>
      </c>
      <c r="C20" s="83">
        <v>1167</v>
      </c>
      <c r="D20" s="3" t="s">
        <v>69</v>
      </c>
      <c r="E20" s="54" t="s">
        <v>137</v>
      </c>
    </row>
    <row r="21" spans="1:5" ht="31.5" x14ac:dyDescent="0.25">
      <c r="A21" s="3">
        <v>8</v>
      </c>
      <c r="B21" s="4" t="s">
        <v>63</v>
      </c>
      <c r="C21" s="83">
        <v>925</v>
      </c>
      <c r="D21" s="3" t="s">
        <v>69</v>
      </c>
      <c r="E21" s="54" t="s">
        <v>137</v>
      </c>
    </row>
    <row r="22" spans="1:5" ht="31.5" x14ac:dyDescent="0.25">
      <c r="A22" s="6" t="s">
        <v>75</v>
      </c>
      <c r="B22" s="23" t="s">
        <v>21</v>
      </c>
      <c r="C22" s="85">
        <f>SUM(C23:C24)</f>
        <v>2083</v>
      </c>
      <c r="D22" s="3"/>
      <c r="E22" s="7"/>
    </row>
    <row r="23" spans="1:5" ht="31.5" x14ac:dyDescent="0.25">
      <c r="A23" s="3">
        <v>1</v>
      </c>
      <c r="B23" s="4" t="s">
        <v>64</v>
      </c>
      <c r="C23" s="83">
        <v>682</v>
      </c>
      <c r="D23" s="3" t="s">
        <v>71</v>
      </c>
      <c r="E23" s="54" t="s">
        <v>140</v>
      </c>
    </row>
    <row r="24" spans="1:5" ht="31.5" x14ac:dyDescent="0.25">
      <c r="A24" s="3">
        <v>2</v>
      </c>
      <c r="B24" s="4" t="s">
        <v>65</v>
      </c>
      <c r="C24" s="83">
        <v>1401</v>
      </c>
      <c r="D24" s="3" t="s">
        <v>69</v>
      </c>
      <c r="E24" s="54" t="s">
        <v>139</v>
      </c>
    </row>
    <row r="25" spans="1:5" x14ac:dyDescent="0.25">
      <c r="A25" s="6" t="s">
        <v>76</v>
      </c>
      <c r="B25" s="23" t="s">
        <v>19</v>
      </c>
      <c r="C25" s="85">
        <f>SUM(C26:C27)</f>
        <v>1700</v>
      </c>
      <c r="D25" s="3"/>
      <c r="E25" s="7"/>
    </row>
    <row r="26" spans="1:5" ht="31.5" x14ac:dyDescent="0.25">
      <c r="A26" s="22">
        <v>1</v>
      </c>
      <c r="B26" s="4" t="s">
        <v>66</v>
      </c>
      <c r="C26" s="83">
        <v>750</v>
      </c>
      <c r="D26" s="3" t="s">
        <v>68</v>
      </c>
      <c r="E26" s="54" t="s">
        <v>137</v>
      </c>
    </row>
    <row r="27" spans="1:5" ht="31.5" x14ac:dyDescent="0.25">
      <c r="A27" s="22">
        <v>2</v>
      </c>
      <c r="B27" s="4" t="s">
        <v>67</v>
      </c>
      <c r="C27" s="83">
        <v>950</v>
      </c>
      <c r="D27" s="3" t="s">
        <v>68</v>
      </c>
      <c r="E27" s="54" t="s">
        <v>137</v>
      </c>
    </row>
    <row r="28" spans="1:5" x14ac:dyDescent="0.25">
      <c r="A28" s="7"/>
      <c r="B28" s="24" t="s">
        <v>78</v>
      </c>
      <c r="C28" s="85">
        <f>C4+C11+C13+C22+C25</f>
        <v>19805</v>
      </c>
      <c r="D28" s="7"/>
      <c r="E28" s="7"/>
    </row>
  </sheetData>
  <mergeCells count="1">
    <mergeCell ref="A1:E1"/>
  </mergeCells>
  <pageMargins left="0.70866141732283472" right="0.43307086614173229" top="0.43307086614173229" bottom="0.23622047244094491" header="0.31496062992125984" footer="0.31496062992125984"/>
  <pageSetup paperSize="9" firstPageNumber="33"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opLeftCell="A10" workbookViewId="0">
      <selection activeCell="A9" sqref="A9:A21"/>
    </sheetView>
  </sheetViews>
  <sheetFormatPr defaultRowHeight="15.75" x14ac:dyDescent="0.25"/>
  <cols>
    <col min="1" max="1" width="4.5" customWidth="1"/>
    <col min="2" max="2" width="16.5" customWidth="1"/>
    <col min="3" max="3" width="7.75" customWidth="1"/>
    <col min="4" max="4" width="8.75" customWidth="1"/>
    <col min="5" max="5" width="10.875" customWidth="1"/>
    <col min="6" max="6" width="9.5" customWidth="1"/>
    <col min="7" max="7" width="9.75" customWidth="1"/>
    <col min="8" max="8" width="9.875" bestFit="1" customWidth="1"/>
    <col min="9" max="9" width="11.125" customWidth="1"/>
    <col min="10" max="10" width="10.875" customWidth="1"/>
    <col min="11" max="11" width="12.125" customWidth="1"/>
    <col min="12" max="12" width="12" customWidth="1"/>
  </cols>
  <sheetData>
    <row r="1" spans="1:14" x14ac:dyDescent="0.25">
      <c r="A1" s="137" t="s">
        <v>221</v>
      </c>
      <c r="B1" s="137"/>
      <c r="C1" s="137"/>
      <c r="D1" s="137"/>
      <c r="E1" s="137"/>
      <c r="F1" s="137"/>
      <c r="G1" s="137"/>
      <c r="H1" s="137"/>
      <c r="I1" s="137"/>
      <c r="J1" s="137"/>
      <c r="K1" s="137"/>
      <c r="L1" s="137"/>
    </row>
    <row r="2" spans="1:14" x14ac:dyDescent="0.25">
      <c r="A2" s="144" t="s">
        <v>167</v>
      </c>
      <c r="B2" s="144"/>
      <c r="C2" s="144"/>
      <c r="D2" s="144"/>
      <c r="E2" s="144"/>
      <c r="F2" s="144"/>
      <c r="G2" s="144"/>
      <c r="H2" s="144"/>
      <c r="I2" s="144"/>
      <c r="J2" s="144"/>
      <c r="K2" s="144"/>
      <c r="L2" s="144"/>
    </row>
    <row r="4" spans="1:14" ht="33" customHeight="1" x14ac:dyDescent="0.25">
      <c r="A4" s="143" t="s">
        <v>1</v>
      </c>
      <c r="B4" s="140" t="s">
        <v>80</v>
      </c>
      <c r="C4" s="145" t="s">
        <v>98</v>
      </c>
      <c r="D4" s="140" t="s">
        <v>81</v>
      </c>
      <c r="E4" s="140" t="s">
        <v>82</v>
      </c>
      <c r="F4" s="140" t="s">
        <v>83</v>
      </c>
      <c r="G4" s="139" t="s">
        <v>84</v>
      </c>
      <c r="H4" s="139"/>
      <c r="I4" s="139"/>
      <c r="J4" s="139"/>
      <c r="K4" s="157" t="s">
        <v>97</v>
      </c>
      <c r="L4" s="158"/>
    </row>
    <row r="5" spans="1:14" ht="27" customHeight="1" x14ac:dyDescent="0.25">
      <c r="A5" s="143"/>
      <c r="B5" s="140"/>
      <c r="C5" s="146"/>
      <c r="D5" s="140"/>
      <c r="E5" s="140"/>
      <c r="F5" s="140"/>
      <c r="G5" s="141" t="s">
        <v>86</v>
      </c>
      <c r="H5" s="141" t="s">
        <v>87</v>
      </c>
      <c r="I5" s="141"/>
      <c r="J5" s="140" t="s">
        <v>88</v>
      </c>
      <c r="K5" s="65" t="s">
        <v>90</v>
      </c>
      <c r="L5" s="65" t="s">
        <v>91</v>
      </c>
    </row>
    <row r="6" spans="1:14" ht="15.75" customHeight="1" x14ac:dyDescent="0.25">
      <c r="A6" s="143"/>
      <c r="B6" s="140"/>
      <c r="C6" s="146"/>
      <c r="D6" s="140"/>
      <c r="E6" s="140"/>
      <c r="F6" s="140"/>
      <c r="G6" s="141"/>
      <c r="H6" s="141"/>
      <c r="I6" s="141"/>
      <c r="J6" s="140"/>
      <c r="K6" s="143" t="s">
        <v>92</v>
      </c>
      <c r="L6" s="143" t="s">
        <v>92</v>
      </c>
    </row>
    <row r="7" spans="1:14" ht="4.5" customHeight="1" x14ac:dyDescent="0.25">
      <c r="A7" s="143"/>
      <c r="B7" s="140"/>
      <c r="C7" s="146"/>
      <c r="D7" s="140"/>
      <c r="E7" s="140"/>
      <c r="F7" s="140"/>
      <c r="G7" s="141"/>
      <c r="H7" s="141"/>
      <c r="I7" s="141"/>
      <c r="J7" s="140"/>
      <c r="K7" s="143"/>
      <c r="L7" s="143"/>
    </row>
    <row r="8" spans="1:14" ht="22.5" customHeight="1" x14ac:dyDescent="0.25">
      <c r="A8" s="143"/>
      <c r="B8" s="140"/>
      <c r="C8" s="147"/>
      <c r="D8" s="140"/>
      <c r="E8" s="140"/>
      <c r="F8" s="140"/>
      <c r="G8" s="141"/>
      <c r="H8" s="64" t="s">
        <v>93</v>
      </c>
      <c r="I8" s="64" t="s">
        <v>94</v>
      </c>
      <c r="J8" s="140"/>
      <c r="K8" s="143"/>
      <c r="L8" s="143"/>
    </row>
    <row r="9" spans="1:14" ht="20.100000000000001" customHeight="1" x14ac:dyDescent="0.25">
      <c r="A9" s="67">
        <v>1</v>
      </c>
      <c r="B9" s="68" t="s">
        <v>11</v>
      </c>
      <c r="C9" s="68">
        <v>15</v>
      </c>
      <c r="D9" s="87">
        <v>469</v>
      </c>
      <c r="E9" s="87">
        <v>96177</v>
      </c>
      <c r="F9" s="87">
        <f>G9+H9+I9+J9</f>
        <v>7021</v>
      </c>
      <c r="G9" s="84">
        <v>5760</v>
      </c>
      <c r="H9" s="87">
        <v>288</v>
      </c>
      <c r="I9" s="87">
        <v>616</v>
      </c>
      <c r="J9" s="87">
        <v>357</v>
      </c>
      <c r="K9" s="84">
        <f>G9</f>
        <v>5760</v>
      </c>
      <c r="L9" s="88">
        <f>F9-G9</f>
        <v>1261</v>
      </c>
      <c r="N9" s="66"/>
    </row>
    <row r="10" spans="1:14" ht="20.100000000000001" customHeight="1" x14ac:dyDescent="0.25">
      <c r="A10" s="67">
        <v>2</v>
      </c>
      <c r="B10" s="68" t="s">
        <v>12</v>
      </c>
      <c r="C10" s="68">
        <v>6</v>
      </c>
      <c r="D10" s="87">
        <v>305</v>
      </c>
      <c r="E10" s="87">
        <v>59163</v>
      </c>
      <c r="F10" s="87">
        <f t="shared" ref="F10:F21" si="0">G10+H10+I10+J10</f>
        <v>1296</v>
      </c>
      <c r="G10" s="84">
        <v>874</v>
      </c>
      <c r="H10" s="87">
        <v>64</v>
      </c>
      <c r="I10" s="87">
        <v>207</v>
      </c>
      <c r="J10" s="87">
        <v>151</v>
      </c>
      <c r="K10" s="84">
        <f t="shared" ref="K10:K21" si="1">G10</f>
        <v>874</v>
      </c>
      <c r="L10" s="88">
        <f t="shared" ref="L10:L21" si="2">F10-G10</f>
        <v>422</v>
      </c>
      <c r="N10" s="66"/>
    </row>
    <row r="11" spans="1:14" ht="20.100000000000001" customHeight="1" x14ac:dyDescent="0.25">
      <c r="A11" s="67">
        <v>3</v>
      </c>
      <c r="B11" s="68" t="s">
        <v>13</v>
      </c>
      <c r="C11" s="68">
        <v>17</v>
      </c>
      <c r="D11" s="87">
        <v>934</v>
      </c>
      <c r="E11" s="87">
        <v>170383</v>
      </c>
      <c r="F11" s="87">
        <f t="shared" si="0"/>
        <v>4569</v>
      </c>
      <c r="G11" s="84">
        <v>3338</v>
      </c>
      <c r="H11" s="87">
        <v>282</v>
      </c>
      <c r="I11" s="87">
        <v>723</v>
      </c>
      <c r="J11" s="87">
        <v>226</v>
      </c>
      <c r="K11" s="84">
        <f t="shared" si="1"/>
        <v>3338</v>
      </c>
      <c r="L11" s="88">
        <f t="shared" si="2"/>
        <v>1231</v>
      </c>
      <c r="N11" s="66"/>
    </row>
    <row r="12" spans="1:14" ht="20.100000000000001" customHeight="1" x14ac:dyDescent="0.25">
      <c r="A12" s="67">
        <v>4</v>
      </c>
      <c r="B12" s="68" t="s">
        <v>14</v>
      </c>
      <c r="C12" s="68">
        <v>16</v>
      </c>
      <c r="D12" s="87">
        <v>941</v>
      </c>
      <c r="E12" s="87">
        <v>210055</v>
      </c>
      <c r="F12" s="87">
        <f t="shared" si="0"/>
        <v>3549</v>
      </c>
      <c r="G12" s="84">
        <v>2470</v>
      </c>
      <c r="H12" s="87">
        <v>242</v>
      </c>
      <c r="I12" s="87">
        <v>625</v>
      </c>
      <c r="J12" s="87">
        <v>212</v>
      </c>
      <c r="K12" s="84">
        <f t="shared" si="1"/>
        <v>2470</v>
      </c>
      <c r="L12" s="88">
        <f t="shared" si="2"/>
        <v>1079</v>
      </c>
      <c r="N12" s="66"/>
    </row>
    <row r="13" spans="1:14" ht="20.100000000000001" customHeight="1" x14ac:dyDescent="0.25">
      <c r="A13" s="67">
        <v>5</v>
      </c>
      <c r="B13" s="68" t="s">
        <v>15</v>
      </c>
      <c r="C13" s="68">
        <v>25</v>
      </c>
      <c r="D13" s="87">
        <v>1897</v>
      </c>
      <c r="E13" s="87">
        <v>360147</v>
      </c>
      <c r="F13" s="87">
        <f t="shared" si="0"/>
        <v>3338</v>
      </c>
      <c r="G13" s="84">
        <v>2451</v>
      </c>
      <c r="H13" s="87">
        <v>244</v>
      </c>
      <c r="I13" s="87">
        <v>412</v>
      </c>
      <c r="J13" s="87">
        <v>231</v>
      </c>
      <c r="K13" s="84">
        <f t="shared" si="1"/>
        <v>2451</v>
      </c>
      <c r="L13" s="88">
        <f t="shared" si="2"/>
        <v>887</v>
      </c>
      <c r="N13" s="66"/>
    </row>
    <row r="14" spans="1:14" ht="20.100000000000001" customHeight="1" x14ac:dyDescent="0.25">
      <c r="A14" s="67">
        <v>6</v>
      </c>
      <c r="B14" s="68" t="s">
        <v>19</v>
      </c>
      <c r="C14" s="68">
        <v>10</v>
      </c>
      <c r="D14" s="87">
        <v>1099</v>
      </c>
      <c r="E14" s="87">
        <v>82438</v>
      </c>
      <c r="F14" s="87">
        <f t="shared" ref="F14:F15" si="3">G14+H14+I14+J14</f>
        <v>929</v>
      </c>
      <c r="G14" s="84">
        <v>554</v>
      </c>
      <c r="H14" s="87">
        <v>71</v>
      </c>
      <c r="I14" s="87">
        <v>195</v>
      </c>
      <c r="J14" s="87">
        <v>109</v>
      </c>
      <c r="K14" s="84">
        <f t="shared" ref="K14:K15" si="4">G14</f>
        <v>554</v>
      </c>
      <c r="L14" s="88">
        <f t="shared" ref="L14:L15" si="5">F14-G14</f>
        <v>375</v>
      </c>
      <c r="N14" s="66"/>
    </row>
    <row r="15" spans="1:14" ht="20.100000000000001" customHeight="1" x14ac:dyDescent="0.25">
      <c r="A15" s="67">
        <v>7</v>
      </c>
      <c r="B15" s="68" t="s">
        <v>18</v>
      </c>
      <c r="C15" s="68">
        <v>21</v>
      </c>
      <c r="D15" s="87">
        <v>1474</v>
      </c>
      <c r="E15" s="87">
        <v>267723</v>
      </c>
      <c r="F15" s="87">
        <f t="shared" si="3"/>
        <v>1926</v>
      </c>
      <c r="G15" s="84">
        <v>1317</v>
      </c>
      <c r="H15" s="87">
        <v>127</v>
      </c>
      <c r="I15" s="87">
        <v>290</v>
      </c>
      <c r="J15" s="87">
        <v>192</v>
      </c>
      <c r="K15" s="84">
        <f t="shared" si="4"/>
        <v>1317</v>
      </c>
      <c r="L15" s="88">
        <f t="shared" si="5"/>
        <v>609</v>
      </c>
      <c r="N15" s="66"/>
    </row>
    <row r="16" spans="1:14" ht="20.100000000000001" customHeight="1" x14ac:dyDescent="0.25">
      <c r="A16" s="67">
        <v>8</v>
      </c>
      <c r="B16" s="68" t="s">
        <v>16</v>
      </c>
      <c r="C16" s="68">
        <v>18</v>
      </c>
      <c r="D16" s="87">
        <v>1010</v>
      </c>
      <c r="E16" s="87">
        <v>278628</v>
      </c>
      <c r="F16" s="87">
        <f t="shared" si="0"/>
        <v>3754</v>
      </c>
      <c r="G16" s="84">
        <v>2884</v>
      </c>
      <c r="H16" s="87">
        <v>138</v>
      </c>
      <c r="I16" s="87">
        <v>403</v>
      </c>
      <c r="J16" s="87">
        <v>329</v>
      </c>
      <c r="K16" s="84">
        <f t="shared" si="1"/>
        <v>2884</v>
      </c>
      <c r="L16" s="88">
        <f t="shared" si="2"/>
        <v>870</v>
      </c>
      <c r="N16" s="66"/>
    </row>
    <row r="17" spans="1:14" ht="20.100000000000001" customHeight="1" x14ac:dyDescent="0.25">
      <c r="A17" s="67">
        <v>9</v>
      </c>
      <c r="B17" s="68" t="s">
        <v>17</v>
      </c>
      <c r="C17" s="68">
        <v>12</v>
      </c>
      <c r="D17" s="87">
        <v>533</v>
      </c>
      <c r="E17" s="87">
        <v>123667</v>
      </c>
      <c r="F17" s="87">
        <f t="shared" si="0"/>
        <v>2160</v>
      </c>
      <c r="G17" s="84">
        <v>1658</v>
      </c>
      <c r="H17" s="87">
        <v>92</v>
      </c>
      <c r="I17" s="87">
        <v>229</v>
      </c>
      <c r="J17" s="87">
        <v>181</v>
      </c>
      <c r="K17" s="84">
        <f t="shared" si="1"/>
        <v>1658</v>
      </c>
      <c r="L17" s="88">
        <f t="shared" si="2"/>
        <v>502</v>
      </c>
      <c r="N17" s="66"/>
    </row>
    <row r="18" spans="1:14" ht="20.100000000000001" customHeight="1" x14ac:dyDescent="0.25">
      <c r="A18" s="67">
        <v>10</v>
      </c>
      <c r="B18" s="68" t="s">
        <v>20</v>
      </c>
      <c r="C18" s="68">
        <v>22</v>
      </c>
      <c r="D18" s="87">
        <v>1340</v>
      </c>
      <c r="E18" s="87">
        <v>324020</v>
      </c>
      <c r="F18" s="87">
        <f t="shared" si="0"/>
        <v>8200</v>
      </c>
      <c r="G18" s="84">
        <v>5671</v>
      </c>
      <c r="H18" s="87">
        <v>660</v>
      </c>
      <c r="I18" s="87">
        <v>1340</v>
      </c>
      <c r="J18" s="87">
        <v>529</v>
      </c>
      <c r="K18" s="84">
        <f t="shared" si="1"/>
        <v>5671</v>
      </c>
      <c r="L18" s="88">
        <f t="shared" si="2"/>
        <v>2529</v>
      </c>
      <c r="N18" s="66"/>
    </row>
    <row r="19" spans="1:14" ht="20.100000000000001" customHeight="1" x14ac:dyDescent="0.25">
      <c r="A19" s="67">
        <v>11</v>
      </c>
      <c r="B19" s="68" t="s">
        <v>21</v>
      </c>
      <c r="C19" s="68">
        <v>23</v>
      </c>
      <c r="D19" s="87">
        <v>1307</v>
      </c>
      <c r="E19" s="87">
        <v>306198</v>
      </c>
      <c r="F19" s="87">
        <f t="shared" si="0"/>
        <v>7609</v>
      </c>
      <c r="G19" s="84">
        <v>6058</v>
      </c>
      <c r="H19" s="87">
        <v>374</v>
      </c>
      <c r="I19" s="87">
        <v>654</v>
      </c>
      <c r="J19" s="87">
        <v>523</v>
      </c>
      <c r="K19" s="84">
        <f t="shared" si="1"/>
        <v>6058</v>
      </c>
      <c r="L19" s="88">
        <f t="shared" si="2"/>
        <v>1551</v>
      </c>
      <c r="N19" s="66"/>
    </row>
    <row r="20" spans="1:14" ht="20.100000000000001" customHeight="1" x14ac:dyDescent="0.25">
      <c r="A20" s="67">
        <v>12</v>
      </c>
      <c r="B20" s="68" t="s">
        <v>22</v>
      </c>
      <c r="C20" s="68">
        <v>20</v>
      </c>
      <c r="D20" s="87">
        <v>1523</v>
      </c>
      <c r="E20" s="87">
        <v>280447</v>
      </c>
      <c r="F20" s="87">
        <f t="shared" ref="F20" si="6">G20+H20+I20+J20</f>
        <v>3940</v>
      </c>
      <c r="G20" s="84">
        <v>2395</v>
      </c>
      <c r="H20" s="87">
        <v>467</v>
      </c>
      <c r="I20" s="87">
        <v>543</v>
      </c>
      <c r="J20" s="87">
        <v>535</v>
      </c>
      <c r="K20" s="84">
        <f t="shared" ref="K20" si="7">G20</f>
        <v>2395</v>
      </c>
      <c r="L20" s="88">
        <f t="shared" ref="L20" si="8">F20-G20</f>
        <v>1545</v>
      </c>
      <c r="N20" s="66"/>
    </row>
    <row r="21" spans="1:14" ht="20.100000000000001" customHeight="1" x14ac:dyDescent="0.25">
      <c r="A21" s="67">
        <v>13</v>
      </c>
      <c r="B21" s="68" t="s">
        <v>10</v>
      </c>
      <c r="C21" s="68">
        <v>11</v>
      </c>
      <c r="D21" s="87">
        <v>684</v>
      </c>
      <c r="E21" s="87">
        <v>129318</v>
      </c>
      <c r="F21" s="87">
        <f t="shared" si="0"/>
        <v>2089</v>
      </c>
      <c r="G21" s="84">
        <v>1208</v>
      </c>
      <c r="H21" s="87">
        <v>550</v>
      </c>
      <c r="I21" s="87">
        <v>152</v>
      </c>
      <c r="J21" s="87">
        <v>179</v>
      </c>
      <c r="K21" s="84">
        <f t="shared" si="1"/>
        <v>1208</v>
      </c>
      <c r="L21" s="88">
        <f t="shared" si="2"/>
        <v>881</v>
      </c>
      <c r="N21" s="66"/>
    </row>
    <row r="22" spans="1:14" ht="20.100000000000001" customHeight="1" x14ac:dyDescent="0.25">
      <c r="A22" s="156" t="s">
        <v>95</v>
      </c>
      <c r="B22" s="156"/>
      <c r="C22" s="69">
        <f>SUM(C9:C21)</f>
        <v>216</v>
      </c>
      <c r="D22" s="89">
        <f>SUM(D9:D21)</f>
        <v>13516</v>
      </c>
      <c r="E22" s="89">
        <f>SUM(E9:E21)</f>
        <v>2688364</v>
      </c>
      <c r="F22" s="89">
        <f>SUM(F9:F21)</f>
        <v>50380</v>
      </c>
      <c r="G22" s="89">
        <f>SUM(G9:G21)</f>
        <v>36638</v>
      </c>
      <c r="H22" s="89">
        <f>SUM(H9:H21)</f>
        <v>3599</v>
      </c>
      <c r="I22" s="89">
        <f>SUM(I9:I21)</f>
        <v>6389</v>
      </c>
      <c r="J22" s="89">
        <f>SUM(J9:J21)</f>
        <v>3754</v>
      </c>
      <c r="K22" s="89">
        <f>SUM(K9:K21)</f>
        <v>36638</v>
      </c>
      <c r="L22" s="89">
        <f>SUM(L9:L21)</f>
        <v>13742</v>
      </c>
    </row>
  </sheetData>
  <mergeCells count="16">
    <mergeCell ref="A22:B22"/>
    <mergeCell ref="K4:L4"/>
    <mergeCell ref="G5:G8"/>
    <mergeCell ref="H5:I7"/>
    <mergeCell ref="J5:J8"/>
    <mergeCell ref="K6:K8"/>
    <mergeCell ref="L6:L8"/>
    <mergeCell ref="A1:L1"/>
    <mergeCell ref="A2:L2"/>
    <mergeCell ref="A4:A8"/>
    <mergeCell ref="B4:B8"/>
    <mergeCell ref="C4:C8"/>
    <mergeCell ref="D4:D8"/>
    <mergeCell ref="E4:E8"/>
    <mergeCell ref="F4:F8"/>
    <mergeCell ref="G4:J4"/>
  </mergeCells>
  <printOptions horizontalCentered="1"/>
  <pageMargins left="0.43307086614173229" right="0.43307086614173229" top="0.51181102362204722" bottom="0.51181102362204722" header="0.31496062992125984" footer="0.31496062992125984"/>
  <pageSetup paperSize="9" firstPageNumber="34" orientation="landscape"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opLeftCell="A61" workbookViewId="0">
      <selection activeCell="M73" sqref="M73"/>
    </sheetView>
  </sheetViews>
  <sheetFormatPr defaultRowHeight="15.75" x14ac:dyDescent="0.25"/>
  <cols>
    <col min="1" max="1" width="4.25" customWidth="1"/>
    <col min="2" max="2" width="16.25" customWidth="1"/>
    <col min="3" max="3" width="8.375" customWidth="1"/>
    <col min="4" max="4" width="8" customWidth="1"/>
    <col min="5" max="5" width="6.5" customWidth="1"/>
    <col min="6" max="6" width="5.5" customWidth="1"/>
    <col min="7" max="7" width="9.5" customWidth="1"/>
    <col min="8" max="8" width="7.625" customWidth="1"/>
    <col min="9" max="9" width="8.125" customWidth="1"/>
    <col min="10" max="10" width="6.75" customWidth="1"/>
    <col min="11" max="11" width="13.125" customWidth="1"/>
    <col min="12" max="12" width="13.25" customWidth="1"/>
    <col min="13" max="13" width="11.125" customWidth="1"/>
    <col min="14" max="14" width="10.875" customWidth="1"/>
    <col min="15" max="15" width="13.75" customWidth="1"/>
    <col min="16" max="16" width="15" customWidth="1"/>
  </cols>
  <sheetData>
    <row r="1" spans="1:16" x14ac:dyDescent="0.25">
      <c r="A1" s="160" t="s">
        <v>224</v>
      </c>
      <c r="B1" s="160"/>
      <c r="C1" s="160"/>
      <c r="D1" s="160"/>
      <c r="E1" s="160"/>
      <c r="F1" s="160"/>
      <c r="G1" s="160"/>
      <c r="H1" s="160"/>
      <c r="I1" s="160"/>
      <c r="J1" s="160"/>
      <c r="K1" s="160"/>
      <c r="L1" s="160"/>
      <c r="M1" s="160"/>
      <c r="N1" s="160"/>
      <c r="O1" s="160"/>
      <c r="P1" s="160"/>
    </row>
    <row r="2" spans="1:16" ht="9" customHeight="1" x14ac:dyDescent="0.25">
      <c r="A2" s="29" t="s">
        <v>99</v>
      </c>
      <c r="B2" s="30"/>
      <c r="C2" s="31"/>
      <c r="D2" s="31"/>
      <c r="E2" s="30"/>
      <c r="F2" s="30"/>
      <c r="G2" s="32"/>
      <c r="H2" s="32"/>
      <c r="I2" s="32"/>
      <c r="J2" s="32"/>
      <c r="K2" s="32"/>
      <c r="L2" s="32"/>
      <c r="M2" s="32"/>
      <c r="N2" s="32"/>
      <c r="O2" s="32"/>
      <c r="P2" s="33"/>
    </row>
    <row r="3" spans="1:16" x14ac:dyDescent="0.25">
      <c r="A3" s="161" t="s">
        <v>1</v>
      </c>
      <c r="B3" s="161" t="s">
        <v>100</v>
      </c>
      <c r="C3" s="164" t="s">
        <v>101</v>
      </c>
      <c r="D3" s="165"/>
      <c r="E3" s="161" t="s">
        <v>102</v>
      </c>
      <c r="F3" s="168" t="s">
        <v>103</v>
      </c>
      <c r="G3" s="171" t="s">
        <v>104</v>
      </c>
      <c r="H3" s="172"/>
      <c r="I3" s="172"/>
      <c r="J3" s="173"/>
      <c r="K3" s="171" t="s">
        <v>105</v>
      </c>
      <c r="L3" s="172"/>
      <c r="M3" s="172"/>
      <c r="N3" s="173"/>
      <c r="O3" s="174" t="s">
        <v>106</v>
      </c>
      <c r="P3" s="174" t="s">
        <v>107</v>
      </c>
    </row>
    <row r="4" spans="1:16" x14ac:dyDescent="0.25">
      <c r="A4" s="162"/>
      <c r="B4" s="162"/>
      <c r="C4" s="166"/>
      <c r="D4" s="167"/>
      <c r="E4" s="162"/>
      <c r="F4" s="169"/>
      <c r="G4" s="179" t="s">
        <v>108</v>
      </c>
      <c r="H4" s="180"/>
      <c r="I4" s="159" t="s">
        <v>109</v>
      </c>
      <c r="J4" s="159"/>
      <c r="K4" s="179" t="s">
        <v>108</v>
      </c>
      <c r="L4" s="180"/>
      <c r="M4" s="159" t="s">
        <v>109</v>
      </c>
      <c r="N4" s="159"/>
      <c r="O4" s="175"/>
      <c r="P4" s="175"/>
    </row>
    <row r="5" spans="1:16" ht="33" customHeight="1" x14ac:dyDescent="0.25">
      <c r="A5" s="163"/>
      <c r="B5" s="163"/>
      <c r="C5" s="34" t="s">
        <v>110</v>
      </c>
      <c r="D5" s="42" t="s">
        <v>111</v>
      </c>
      <c r="E5" s="163"/>
      <c r="F5" s="170"/>
      <c r="G5" s="35" t="s">
        <v>110</v>
      </c>
      <c r="H5" s="35" t="s">
        <v>111</v>
      </c>
      <c r="I5" s="35" t="s">
        <v>110</v>
      </c>
      <c r="J5" s="35" t="s">
        <v>111</v>
      </c>
      <c r="K5" s="35" t="s">
        <v>110</v>
      </c>
      <c r="L5" s="43" t="s">
        <v>111</v>
      </c>
      <c r="M5" s="35" t="s">
        <v>110</v>
      </c>
      <c r="N5" s="35" t="s">
        <v>111</v>
      </c>
      <c r="O5" s="176"/>
      <c r="P5" s="176"/>
    </row>
    <row r="6" spans="1:16" ht="33" customHeight="1" x14ac:dyDescent="0.25">
      <c r="A6" s="57" t="s">
        <v>141</v>
      </c>
      <c r="B6" s="57" t="s">
        <v>142</v>
      </c>
      <c r="C6" s="63">
        <f>C7+C10+C12+C14+C17+C20</f>
        <v>7121</v>
      </c>
      <c r="D6" s="42"/>
      <c r="E6" s="57"/>
      <c r="F6" s="58"/>
      <c r="G6" s="56"/>
      <c r="H6" s="56"/>
      <c r="I6" s="56"/>
      <c r="J6" s="56"/>
      <c r="K6" s="56"/>
      <c r="L6" s="43"/>
      <c r="M6" s="56"/>
      <c r="N6" s="56"/>
      <c r="O6" s="59"/>
      <c r="P6" s="59"/>
    </row>
    <row r="7" spans="1:16" s="95" customFormat="1" ht="24.95" customHeight="1" x14ac:dyDescent="0.25">
      <c r="A7" s="90">
        <v>1</v>
      </c>
      <c r="B7" s="217" t="s">
        <v>49</v>
      </c>
      <c r="C7" s="92">
        <v>1033</v>
      </c>
      <c r="D7" s="93"/>
      <c r="E7" s="90"/>
      <c r="F7" s="90"/>
      <c r="G7" s="94"/>
      <c r="H7" s="94"/>
      <c r="I7" s="94"/>
      <c r="J7" s="94"/>
      <c r="K7" s="94"/>
      <c r="L7" s="94"/>
      <c r="M7" s="94"/>
      <c r="N7" s="94"/>
      <c r="O7" s="94">
        <f>O8+O9</f>
        <v>116904777.6275</v>
      </c>
      <c r="P7" s="94">
        <f>P8+P9</f>
        <v>3210685438.3775001</v>
      </c>
    </row>
    <row r="8" spans="1:16" ht="24.95" customHeight="1" x14ac:dyDescent="0.25">
      <c r="A8" s="36"/>
      <c r="B8" s="37" t="s">
        <v>112</v>
      </c>
      <c r="C8" s="41">
        <v>700</v>
      </c>
      <c r="D8" s="39"/>
      <c r="E8" s="36">
        <v>2</v>
      </c>
      <c r="F8" s="36">
        <v>0.2</v>
      </c>
      <c r="G8" s="38">
        <f>2797746+33248+48369*2</f>
        <v>2927732</v>
      </c>
      <c r="H8" s="38"/>
      <c r="I8" s="38">
        <f>799821+14659*2</f>
        <v>829139</v>
      </c>
      <c r="J8" s="38"/>
      <c r="K8" s="38">
        <f t="shared" ref="K8:K44" si="0">C8*G8</f>
        <v>2049412400</v>
      </c>
      <c r="L8" s="38">
        <f t="shared" ref="L8:L44" si="1">D8*H8</f>
        <v>0</v>
      </c>
      <c r="M8" s="38">
        <f t="shared" ref="M8:M44" si="2">C8*I8</f>
        <v>580397300</v>
      </c>
      <c r="N8" s="38">
        <f t="shared" ref="N8:N44" si="3">D8*J8</f>
        <v>0</v>
      </c>
      <c r="O8" s="38">
        <f>(K8+L8)*4%+(M8+N8)*3%</f>
        <v>99388415</v>
      </c>
      <c r="P8" s="38">
        <f>SUM(K8:O8)</f>
        <v>2729198115</v>
      </c>
    </row>
    <row r="9" spans="1:16" ht="24.95" customHeight="1" x14ac:dyDescent="0.25">
      <c r="A9" s="36"/>
      <c r="B9" s="37" t="s">
        <v>113</v>
      </c>
      <c r="C9" s="41">
        <v>332.75</v>
      </c>
      <c r="D9" s="39"/>
      <c r="E9" s="36">
        <v>1</v>
      </c>
      <c r="F9" s="36">
        <v>0.2</v>
      </c>
      <c r="G9" s="38">
        <f>1033040+12066+17978*2</f>
        <v>1081062</v>
      </c>
      <c r="H9" s="38"/>
      <c r="I9" s="38">
        <f>307499+5792</f>
        <v>313291</v>
      </c>
      <c r="J9" s="38"/>
      <c r="K9" s="38">
        <f t="shared" si="0"/>
        <v>359723380.5</v>
      </c>
      <c r="L9" s="38">
        <f t="shared" si="1"/>
        <v>0</v>
      </c>
      <c r="M9" s="38">
        <f t="shared" si="2"/>
        <v>104247580.25</v>
      </c>
      <c r="N9" s="38">
        <f t="shared" si="3"/>
        <v>0</v>
      </c>
      <c r="O9" s="38">
        <f t="shared" ref="O9:O64" si="4">(K9+L9)*4%+(M9+N9)*3%</f>
        <v>17516362.627500001</v>
      </c>
      <c r="P9" s="38">
        <f>SUM(K9:O9)</f>
        <v>481487323.3775</v>
      </c>
    </row>
    <row r="10" spans="1:16" s="95" customFormat="1" ht="24.95" customHeight="1" x14ac:dyDescent="0.25">
      <c r="A10" s="90">
        <v>2</v>
      </c>
      <c r="B10" s="91" t="s">
        <v>50</v>
      </c>
      <c r="C10" s="92">
        <f>C11</f>
        <v>600</v>
      </c>
      <c r="D10" s="93"/>
      <c r="E10" s="90"/>
      <c r="F10" s="90"/>
      <c r="G10" s="94"/>
      <c r="H10" s="94"/>
      <c r="I10" s="94"/>
      <c r="J10" s="94"/>
      <c r="K10" s="94">
        <f t="shared" si="0"/>
        <v>0</v>
      </c>
      <c r="L10" s="94">
        <f t="shared" si="1"/>
        <v>0</v>
      </c>
      <c r="M10" s="94">
        <f t="shared" si="2"/>
        <v>0</v>
      </c>
      <c r="N10" s="94">
        <f t="shared" si="3"/>
        <v>0</v>
      </c>
      <c r="O10" s="94">
        <f>O11</f>
        <v>83765352</v>
      </c>
      <c r="P10" s="94">
        <f>P11</f>
        <v>2300071152</v>
      </c>
    </row>
    <row r="11" spans="1:16" ht="24.95" customHeight="1" x14ac:dyDescent="0.25">
      <c r="A11" s="36"/>
      <c r="B11" s="37" t="s">
        <v>112</v>
      </c>
      <c r="C11" s="41">
        <v>600</v>
      </c>
      <c r="D11" s="39"/>
      <c r="E11" s="36">
        <v>2</v>
      </c>
      <c r="F11" s="36">
        <v>0.1</v>
      </c>
      <c r="G11" s="38">
        <f>2797746+33248+48369</f>
        <v>2879363</v>
      </c>
      <c r="H11" s="38"/>
      <c r="I11" s="38">
        <f>799821+14659</f>
        <v>814480</v>
      </c>
      <c r="J11" s="38"/>
      <c r="K11" s="38">
        <f t="shared" si="0"/>
        <v>1727617800</v>
      </c>
      <c r="L11" s="38">
        <f t="shared" si="1"/>
        <v>0</v>
      </c>
      <c r="M11" s="38">
        <f t="shared" si="2"/>
        <v>488688000</v>
      </c>
      <c r="N11" s="38">
        <f t="shared" si="3"/>
        <v>0</v>
      </c>
      <c r="O11" s="38">
        <f t="shared" si="4"/>
        <v>83765352</v>
      </c>
      <c r="P11" s="38">
        <f t="shared" ref="P11:P64" si="5">SUM(K11:O11)</f>
        <v>2300071152</v>
      </c>
    </row>
    <row r="12" spans="1:16" s="95" customFormat="1" ht="24.95" customHeight="1" x14ac:dyDescent="0.25">
      <c r="A12" s="90">
        <v>3</v>
      </c>
      <c r="B12" s="91" t="s">
        <v>51</v>
      </c>
      <c r="C12" s="92">
        <f>C13</f>
        <v>498</v>
      </c>
      <c r="D12" s="93"/>
      <c r="E12" s="90"/>
      <c r="F12" s="90"/>
      <c r="G12" s="94"/>
      <c r="H12" s="94"/>
      <c r="I12" s="94"/>
      <c r="J12" s="94"/>
      <c r="K12" s="94">
        <f t="shared" si="0"/>
        <v>0</v>
      </c>
      <c r="L12" s="94">
        <f t="shared" si="1"/>
        <v>0</v>
      </c>
      <c r="M12" s="94">
        <f t="shared" si="2"/>
        <v>0</v>
      </c>
      <c r="N12" s="94">
        <f t="shared" si="3"/>
        <v>0</v>
      </c>
      <c r="O12" s="94">
        <f>O13</f>
        <v>70707758.099999994</v>
      </c>
      <c r="P12" s="94">
        <f>P13</f>
        <v>1941629516.0999999</v>
      </c>
    </row>
    <row r="13" spans="1:16" ht="24.95" customHeight="1" x14ac:dyDescent="0.25">
      <c r="A13" s="36"/>
      <c r="B13" s="37" t="s">
        <v>112</v>
      </c>
      <c r="C13" s="41">
        <v>498</v>
      </c>
      <c r="D13" s="39"/>
      <c r="E13" s="36">
        <v>2</v>
      </c>
      <c r="F13" s="36">
        <v>0.2</v>
      </c>
      <c r="G13" s="38">
        <f>G8</f>
        <v>2927732</v>
      </c>
      <c r="H13" s="38"/>
      <c r="I13" s="38">
        <f>I8</f>
        <v>829139</v>
      </c>
      <c r="J13" s="38"/>
      <c r="K13" s="38">
        <f t="shared" si="0"/>
        <v>1458010536</v>
      </c>
      <c r="L13" s="38">
        <f t="shared" si="1"/>
        <v>0</v>
      </c>
      <c r="M13" s="38">
        <f t="shared" si="2"/>
        <v>412911222</v>
      </c>
      <c r="N13" s="38">
        <f t="shared" si="3"/>
        <v>0</v>
      </c>
      <c r="O13" s="38">
        <f t="shared" si="4"/>
        <v>70707758.099999994</v>
      </c>
      <c r="P13" s="38">
        <f t="shared" si="5"/>
        <v>1941629516.0999999</v>
      </c>
    </row>
    <row r="14" spans="1:16" s="95" customFormat="1" ht="24.95" customHeight="1" x14ac:dyDescent="0.25">
      <c r="A14" s="90">
        <v>4</v>
      </c>
      <c r="B14" s="91" t="s">
        <v>52</v>
      </c>
      <c r="C14" s="92">
        <f>C15+C16</f>
        <v>2100</v>
      </c>
      <c r="D14" s="93"/>
      <c r="E14" s="90"/>
      <c r="F14" s="90"/>
      <c r="G14" s="94"/>
      <c r="H14" s="94"/>
      <c r="I14" s="94"/>
      <c r="J14" s="94"/>
      <c r="K14" s="94">
        <f t="shared" si="0"/>
        <v>0</v>
      </c>
      <c r="L14" s="94">
        <f t="shared" si="1"/>
        <v>0</v>
      </c>
      <c r="M14" s="94">
        <f t="shared" si="2"/>
        <v>0</v>
      </c>
      <c r="N14" s="94">
        <f t="shared" si="3"/>
        <v>0</v>
      </c>
      <c r="O14" s="94">
        <f>O15+O16</f>
        <v>179185853</v>
      </c>
      <c r="P14" s="94">
        <f>P15+P16</f>
        <v>4923547753</v>
      </c>
    </row>
    <row r="15" spans="1:16" ht="24.95" customHeight="1" x14ac:dyDescent="0.25">
      <c r="A15" s="36"/>
      <c r="B15" s="37" t="s">
        <v>112</v>
      </c>
      <c r="C15" s="41">
        <v>800</v>
      </c>
      <c r="D15" s="39"/>
      <c r="E15" s="36">
        <v>2</v>
      </c>
      <c r="F15" s="36">
        <v>0.1</v>
      </c>
      <c r="G15" s="38">
        <f>G11</f>
        <v>2879363</v>
      </c>
      <c r="H15" s="38"/>
      <c r="I15" s="38">
        <f>I11</f>
        <v>814480</v>
      </c>
      <c r="J15" s="38"/>
      <c r="K15" s="38">
        <f t="shared" si="0"/>
        <v>2303490400</v>
      </c>
      <c r="L15" s="38">
        <f t="shared" si="1"/>
        <v>0</v>
      </c>
      <c r="M15" s="38">
        <f t="shared" si="2"/>
        <v>651584000</v>
      </c>
      <c r="N15" s="38">
        <f t="shared" si="3"/>
        <v>0</v>
      </c>
      <c r="O15" s="38">
        <f t="shared" si="4"/>
        <v>111687136</v>
      </c>
      <c r="P15" s="38">
        <f t="shared" si="5"/>
        <v>3066761536</v>
      </c>
    </row>
    <row r="16" spans="1:16" ht="24.95" customHeight="1" x14ac:dyDescent="0.25">
      <c r="A16" s="36"/>
      <c r="B16" s="37" t="s">
        <v>113</v>
      </c>
      <c r="C16" s="41">
        <v>1300</v>
      </c>
      <c r="D16" s="39"/>
      <c r="E16" s="36">
        <v>1</v>
      </c>
      <c r="F16" s="36">
        <v>0.1</v>
      </c>
      <c r="G16" s="38">
        <f>1033040+12066+17978</f>
        <v>1063084</v>
      </c>
      <c r="H16" s="38"/>
      <c r="I16" s="38">
        <f>307499+5792</f>
        <v>313291</v>
      </c>
      <c r="J16" s="38"/>
      <c r="K16" s="38">
        <f t="shared" si="0"/>
        <v>1382009200</v>
      </c>
      <c r="L16" s="38">
        <f t="shared" si="1"/>
        <v>0</v>
      </c>
      <c r="M16" s="38">
        <f t="shared" si="2"/>
        <v>407278300</v>
      </c>
      <c r="N16" s="38">
        <f t="shared" si="3"/>
        <v>0</v>
      </c>
      <c r="O16" s="38">
        <f t="shared" si="4"/>
        <v>67498717</v>
      </c>
      <c r="P16" s="38">
        <f t="shared" si="5"/>
        <v>1856786217</v>
      </c>
    </row>
    <row r="17" spans="1:16" s="95" customFormat="1" ht="24.95" customHeight="1" x14ac:dyDescent="0.25">
      <c r="A17" s="90">
        <v>5</v>
      </c>
      <c r="B17" s="91" t="s">
        <v>53</v>
      </c>
      <c r="C17" s="92">
        <f>C18+C19</f>
        <v>2600</v>
      </c>
      <c r="D17" s="93"/>
      <c r="E17" s="90"/>
      <c r="F17" s="90"/>
      <c r="G17" s="94"/>
      <c r="H17" s="94"/>
      <c r="I17" s="94"/>
      <c r="J17" s="94"/>
      <c r="K17" s="94">
        <f t="shared" si="0"/>
        <v>0</v>
      </c>
      <c r="L17" s="94">
        <f t="shared" si="1"/>
        <v>0</v>
      </c>
      <c r="M17" s="94">
        <f t="shared" si="2"/>
        <v>0</v>
      </c>
      <c r="N17" s="94">
        <f t="shared" si="3"/>
        <v>0</v>
      </c>
      <c r="O17" s="94">
        <f>O18+O19</f>
        <v>196378215</v>
      </c>
      <c r="P17" s="94">
        <f>P18+P19</f>
        <v>5397180815</v>
      </c>
    </row>
    <row r="18" spans="1:16" ht="24.95" customHeight="1" x14ac:dyDescent="0.25">
      <c r="A18" s="36"/>
      <c r="B18" s="37" t="s">
        <v>112</v>
      </c>
      <c r="C18" s="41">
        <v>700</v>
      </c>
      <c r="D18" s="39"/>
      <c r="E18" s="36">
        <v>2</v>
      </c>
      <c r="F18" s="36">
        <v>0.1</v>
      </c>
      <c r="G18" s="38">
        <f>G15</f>
        <v>2879363</v>
      </c>
      <c r="H18" s="38"/>
      <c r="I18" s="38">
        <f>I15</f>
        <v>814480</v>
      </c>
      <c r="J18" s="38"/>
      <c r="K18" s="38">
        <f t="shared" si="0"/>
        <v>2015554100</v>
      </c>
      <c r="L18" s="38">
        <f t="shared" si="1"/>
        <v>0</v>
      </c>
      <c r="M18" s="38">
        <f t="shared" si="2"/>
        <v>570136000</v>
      </c>
      <c r="N18" s="38">
        <f t="shared" si="3"/>
        <v>0</v>
      </c>
      <c r="O18" s="38">
        <f t="shared" si="4"/>
        <v>97726244</v>
      </c>
      <c r="P18" s="38">
        <f t="shared" si="5"/>
        <v>2683416344</v>
      </c>
    </row>
    <row r="19" spans="1:16" ht="24.95" customHeight="1" x14ac:dyDescent="0.25">
      <c r="A19" s="36"/>
      <c r="B19" s="37" t="s">
        <v>113</v>
      </c>
      <c r="C19" s="41">
        <v>1900</v>
      </c>
      <c r="D19" s="39"/>
      <c r="E19" s="36">
        <v>1</v>
      </c>
      <c r="F19" s="36">
        <v>0.1</v>
      </c>
      <c r="G19" s="38">
        <f>G16</f>
        <v>1063084</v>
      </c>
      <c r="H19" s="38"/>
      <c r="I19" s="38">
        <f>I16</f>
        <v>313291</v>
      </c>
      <c r="J19" s="38"/>
      <c r="K19" s="38">
        <f t="shared" si="0"/>
        <v>2019859600</v>
      </c>
      <c r="L19" s="38">
        <f t="shared" si="1"/>
        <v>0</v>
      </c>
      <c r="M19" s="38">
        <f t="shared" si="2"/>
        <v>595252900</v>
      </c>
      <c r="N19" s="38">
        <f t="shared" si="3"/>
        <v>0</v>
      </c>
      <c r="O19" s="38">
        <f t="shared" si="4"/>
        <v>98651971</v>
      </c>
      <c r="P19" s="38">
        <f t="shared" si="5"/>
        <v>2713764471</v>
      </c>
    </row>
    <row r="20" spans="1:16" s="95" customFormat="1" ht="24.95" customHeight="1" x14ac:dyDescent="0.25">
      <c r="A20" s="90">
        <v>6</v>
      </c>
      <c r="B20" s="91" t="s">
        <v>54</v>
      </c>
      <c r="C20" s="92">
        <f>C21+C22</f>
        <v>290</v>
      </c>
      <c r="D20" s="93"/>
      <c r="E20" s="90"/>
      <c r="F20" s="90"/>
      <c r="G20" s="94"/>
      <c r="H20" s="94"/>
      <c r="I20" s="94"/>
      <c r="J20" s="94"/>
      <c r="K20" s="94">
        <f t="shared" si="0"/>
        <v>0</v>
      </c>
      <c r="L20" s="94">
        <f t="shared" si="1"/>
        <v>0</v>
      </c>
      <c r="M20" s="94">
        <f t="shared" si="2"/>
        <v>0</v>
      </c>
      <c r="N20" s="94">
        <f t="shared" si="3"/>
        <v>0</v>
      </c>
      <c r="O20" s="94">
        <f>O21+O22</f>
        <v>22306936.5</v>
      </c>
      <c r="P20" s="94">
        <f>P21+P22</f>
        <v>613010906.5</v>
      </c>
    </row>
    <row r="21" spans="1:16" ht="24.95" customHeight="1" x14ac:dyDescent="0.25">
      <c r="A21" s="36"/>
      <c r="B21" s="37" t="s">
        <v>112</v>
      </c>
      <c r="C21" s="41">
        <v>80</v>
      </c>
      <c r="D21" s="39"/>
      <c r="E21" s="36">
        <v>2</v>
      </c>
      <c r="F21" s="36">
        <v>0.2</v>
      </c>
      <c r="G21" s="38">
        <f>2797746+48369*2</f>
        <v>2894484</v>
      </c>
      <c r="H21" s="38"/>
      <c r="I21" s="38">
        <f>799821+14659*2</f>
        <v>829139</v>
      </c>
      <c r="J21" s="38"/>
      <c r="K21" s="38">
        <f t="shared" si="0"/>
        <v>231558720</v>
      </c>
      <c r="L21" s="38">
        <f t="shared" si="1"/>
        <v>0</v>
      </c>
      <c r="M21" s="38">
        <f t="shared" si="2"/>
        <v>66331120</v>
      </c>
      <c r="N21" s="38">
        <f t="shared" si="3"/>
        <v>0</v>
      </c>
      <c r="O21" s="38">
        <f t="shared" si="4"/>
        <v>11252282.4</v>
      </c>
      <c r="P21" s="38">
        <f t="shared" si="5"/>
        <v>309142122.39999998</v>
      </c>
    </row>
    <row r="22" spans="1:16" ht="24.95" customHeight="1" x14ac:dyDescent="0.25">
      <c r="A22" s="36"/>
      <c r="B22" s="37" t="s">
        <v>113</v>
      </c>
      <c r="C22" s="41">
        <v>210</v>
      </c>
      <c r="D22" s="39"/>
      <c r="E22" s="36">
        <v>1</v>
      </c>
      <c r="F22" s="36">
        <v>0.2</v>
      </c>
      <c r="G22" s="38">
        <f>G9</f>
        <v>1081062</v>
      </c>
      <c r="H22" s="38"/>
      <c r="I22" s="38">
        <f>I9</f>
        <v>313291</v>
      </c>
      <c r="J22" s="38"/>
      <c r="K22" s="38">
        <f t="shared" si="0"/>
        <v>227023020</v>
      </c>
      <c r="L22" s="38">
        <f t="shared" si="1"/>
        <v>0</v>
      </c>
      <c r="M22" s="38">
        <f t="shared" si="2"/>
        <v>65791110</v>
      </c>
      <c r="N22" s="38">
        <f t="shared" si="3"/>
        <v>0</v>
      </c>
      <c r="O22" s="38">
        <f t="shared" si="4"/>
        <v>11054654.100000001</v>
      </c>
      <c r="P22" s="38">
        <f t="shared" si="5"/>
        <v>303868784.10000002</v>
      </c>
    </row>
    <row r="23" spans="1:16" s="95" customFormat="1" ht="24.95" customHeight="1" x14ac:dyDescent="0.25">
      <c r="A23" s="108"/>
      <c r="B23" s="109" t="s">
        <v>115</v>
      </c>
      <c r="C23" s="110"/>
      <c r="D23" s="110"/>
      <c r="E23" s="111"/>
      <c r="F23" s="111"/>
      <c r="G23" s="112"/>
      <c r="H23" s="112"/>
      <c r="I23" s="112"/>
      <c r="J23" s="112"/>
      <c r="K23" s="112"/>
      <c r="L23" s="112"/>
      <c r="M23" s="112"/>
      <c r="N23" s="112"/>
      <c r="O23" s="113">
        <f>O7+O10+O12+O14+O17+O20</f>
        <v>669248892.22749996</v>
      </c>
      <c r="P23" s="113">
        <f>P7+P10+P12+P14+P17+P20</f>
        <v>18386125580.977501</v>
      </c>
    </row>
    <row r="24" spans="1:16" s="95" customFormat="1" ht="24.95" customHeight="1" x14ac:dyDescent="0.25">
      <c r="A24" s="108"/>
      <c r="B24" s="177" t="s">
        <v>166</v>
      </c>
      <c r="C24" s="177"/>
      <c r="D24" s="110"/>
      <c r="E24" s="111"/>
      <c r="F24" s="111"/>
      <c r="G24" s="112"/>
      <c r="H24" s="112"/>
      <c r="I24" s="112"/>
      <c r="J24" s="112"/>
      <c r="K24" s="112"/>
      <c r="L24" s="112"/>
      <c r="M24" s="112"/>
      <c r="N24" s="112"/>
      <c r="O24" s="113"/>
      <c r="P24" s="113">
        <f>(P23-(P23*0.1))</f>
        <v>16547513022.879751</v>
      </c>
    </row>
    <row r="25" spans="1:16" s="95" customFormat="1" ht="24.95" customHeight="1" x14ac:dyDescent="0.25">
      <c r="A25" s="108"/>
      <c r="B25" s="109" t="s">
        <v>116</v>
      </c>
      <c r="C25" s="110"/>
      <c r="D25" s="110"/>
      <c r="E25" s="111"/>
      <c r="F25" s="111"/>
      <c r="G25" s="112"/>
      <c r="H25" s="112"/>
      <c r="I25" s="112"/>
      <c r="J25" s="112"/>
      <c r="K25" s="112"/>
      <c r="L25" s="112"/>
      <c r="M25" s="112"/>
      <c r="N25" s="112"/>
      <c r="O25" s="113">
        <f>O23*10%</f>
        <v>66924889.222750001</v>
      </c>
      <c r="P25" s="114">
        <f>P24*10%</f>
        <v>1654751302.2879753</v>
      </c>
    </row>
    <row r="26" spans="1:16" s="95" customFormat="1" ht="24.95" customHeight="1" x14ac:dyDescent="0.25">
      <c r="A26" s="115"/>
      <c r="B26" s="116" t="s">
        <v>237</v>
      </c>
      <c r="C26" s="117"/>
      <c r="D26" s="117"/>
      <c r="E26" s="118"/>
      <c r="F26" s="118"/>
      <c r="G26" s="119"/>
      <c r="H26" s="119"/>
      <c r="I26" s="119"/>
      <c r="J26" s="119"/>
      <c r="K26" s="119"/>
      <c r="L26" s="119"/>
      <c r="M26" s="119"/>
      <c r="N26" s="119"/>
      <c r="O26" s="119">
        <f>O23+O25</f>
        <v>736173781.45024991</v>
      </c>
      <c r="P26" s="114">
        <f>P24+P25</f>
        <v>18202264325.167725</v>
      </c>
    </row>
    <row r="27" spans="1:16" ht="24.95" customHeight="1" x14ac:dyDescent="0.25">
      <c r="A27" s="61" t="s">
        <v>144</v>
      </c>
      <c r="B27" s="62" t="s">
        <v>145</v>
      </c>
      <c r="C27" s="41"/>
      <c r="D27" s="39"/>
      <c r="E27" s="36"/>
      <c r="F27" s="36"/>
      <c r="G27" s="38"/>
      <c r="H27" s="38"/>
      <c r="I27" s="38"/>
      <c r="J27" s="38"/>
      <c r="K27" s="38"/>
      <c r="L27" s="38"/>
      <c r="M27" s="38"/>
      <c r="N27" s="38"/>
      <c r="O27" s="38"/>
      <c r="P27" s="38"/>
    </row>
    <row r="28" spans="1:16" s="95" customFormat="1" ht="24.95" customHeight="1" x14ac:dyDescent="0.25">
      <c r="A28" s="90">
        <v>7</v>
      </c>
      <c r="B28" s="91" t="s">
        <v>55</v>
      </c>
      <c r="C28" s="92">
        <f>C29+C30</f>
        <v>1050</v>
      </c>
      <c r="D28" s="93"/>
      <c r="E28" s="90"/>
      <c r="F28" s="90"/>
      <c r="G28" s="94"/>
      <c r="H28" s="94"/>
      <c r="I28" s="94"/>
      <c r="J28" s="94"/>
      <c r="K28" s="94">
        <f t="shared" si="0"/>
        <v>0</v>
      </c>
      <c r="L28" s="94">
        <f t="shared" si="1"/>
        <v>0</v>
      </c>
      <c r="M28" s="94">
        <f t="shared" si="2"/>
        <v>0</v>
      </c>
      <c r="N28" s="94">
        <f t="shared" si="3"/>
        <v>0</v>
      </c>
      <c r="O28" s="94">
        <f>O29+O30</f>
        <v>70147078.5</v>
      </c>
      <c r="P28" s="94">
        <f>P29+P30</f>
        <v>1929158628.5</v>
      </c>
    </row>
    <row r="29" spans="1:16" ht="24.95" customHeight="1" x14ac:dyDescent="0.25">
      <c r="A29" s="36"/>
      <c r="B29" s="37" t="s">
        <v>112</v>
      </c>
      <c r="C29" s="41">
        <v>200</v>
      </c>
      <c r="D29" s="39"/>
      <c r="E29" s="36">
        <v>2</v>
      </c>
      <c r="F29" s="36"/>
      <c r="G29" s="38">
        <v>2797946</v>
      </c>
      <c r="H29" s="38"/>
      <c r="I29" s="38">
        <v>799821</v>
      </c>
      <c r="J29" s="38"/>
      <c r="K29" s="38">
        <f t="shared" si="0"/>
        <v>559589200</v>
      </c>
      <c r="L29" s="38">
        <f t="shared" si="1"/>
        <v>0</v>
      </c>
      <c r="M29" s="38">
        <f t="shared" si="2"/>
        <v>159964200</v>
      </c>
      <c r="N29" s="38">
        <f t="shared" si="3"/>
        <v>0</v>
      </c>
      <c r="O29" s="38">
        <f t="shared" si="4"/>
        <v>27182494</v>
      </c>
      <c r="P29" s="38">
        <f t="shared" si="5"/>
        <v>746735894</v>
      </c>
    </row>
    <row r="30" spans="1:16" ht="24.95" customHeight="1" x14ac:dyDescent="0.25">
      <c r="A30" s="36"/>
      <c r="B30" s="37" t="s">
        <v>113</v>
      </c>
      <c r="C30" s="41">
        <v>850</v>
      </c>
      <c r="D30" s="39"/>
      <c r="E30" s="36">
        <v>1</v>
      </c>
      <c r="F30" s="36"/>
      <c r="G30" s="38">
        <v>1033040</v>
      </c>
      <c r="H30" s="38"/>
      <c r="I30" s="38">
        <v>307499</v>
      </c>
      <c r="J30" s="38"/>
      <c r="K30" s="38">
        <f t="shared" si="0"/>
        <v>878084000</v>
      </c>
      <c r="L30" s="38">
        <f t="shared" si="1"/>
        <v>0</v>
      </c>
      <c r="M30" s="38">
        <f t="shared" si="2"/>
        <v>261374150</v>
      </c>
      <c r="N30" s="38">
        <f t="shared" si="3"/>
        <v>0</v>
      </c>
      <c r="O30" s="38">
        <f t="shared" si="4"/>
        <v>42964584.5</v>
      </c>
      <c r="P30" s="38">
        <f t="shared" si="5"/>
        <v>1182422734.5</v>
      </c>
    </row>
    <row r="31" spans="1:16" s="95" customFormat="1" ht="24.95" customHeight="1" x14ac:dyDescent="0.25">
      <c r="A31" s="90">
        <v>8</v>
      </c>
      <c r="B31" s="91" t="s">
        <v>56</v>
      </c>
      <c r="C31" s="92">
        <v>1106.76</v>
      </c>
      <c r="D31" s="93"/>
      <c r="E31" s="90"/>
      <c r="F31" s="90"/>
      <c r="G31" s="94"/>
      <c r="H31" s="94"/>
      <c r="I31" s="94"/>
      <c r="J31" s="94"/>
      <c r="K31" s="94">
        <f t="shared" si="0"/>
        <v>0</v>
      </c>
      <c r="L31" s="94">
        <f t="shared" si="1"/>
        <v>0</v>
      </c>
      <c r="M31" s="94">
        <f t="shared" si="2"/>
        <v>0</v>
      </c>
      <c r="N31" s="94">
        <f t="shared" si="3"/>
        <v>0</v>
      </c>
      <c r="O31" s="94">
        <f>O32+O33</f>
        <v>69571674.277899995</v>
      </c>
      <c r="P31" s="94">
        <f>P32+P33</f>
        <v>1902209230.8178999</v>
      </c>
    </row>
    <row r="32" spans="1:16" ht="24.95" customHeight="1" x14ac:dyDescent="0.25">
      <c r="A32" s="36"/>
      <c r="B32" s="37" t="s">
        <v>112</v>
      </c>
      <c r="C32" s="41">
        <v>177.49</v>
      </c>
      <c r="D32" s="44">
        <f>[1]Sheet1!$D$26</f>
        <v>3194.82</v>
      </c>
      <c r="E32" s="36">
        <v>2</v>
      </c>
      <c r="F32" s="36"/>
      <c r="G32" s="38">
        <v>220761</v>
      </c>
      <c r="H32" s="38">
        <f>7816+136198</f>
        <v>144014</v>
      </c>
      <c r="I32" s="38">
        <f>12642+13277+21183</f>
        <v>47102</v>
      </c>
      <c r="J32" s="38">
        <f>10544+6588+7681</f>
        <v>24813</v>
      </c>
      <c r="K32" s="38">
        <f t="shared" si="0"/>
        <v>39182869.890000001</v>
      </c>
      <c r="L32" s="38">
        <f t="shared" si="1"/>
        <v>460098807.48000002</v>
      </c>
      <c r="M32" s="38">
        <f t="shared" si="2"/>
        <v>8360133.9800000004</v>
      </c>
      <c r="N32" s="38">
        <f t="shared" si="3"/>
        <v>79273068.660000011</v>
      </c>
      <c r="O32" s="38">
        <f t="shared" si="4"/>
        <v>22600263.173999999</v>
      </c>
      <c r="P32" s="38">
        <f t="shared" si="5"/>
        <v>609515143.18400002</v>
      </c>
    </row>
    <row r="33" spans="1:16" ht="24.95" customHeight="1" x14ac:dyDescent="0.25">
      <c r="A33" s="36"/>
      <c r="B33" s="37" t="s">
        <v>113</v>
      </c>
      <c r="C33" s="41">
        <f>C31-C32</f>
        <v>929.27</v>
      </c>
      <c r="D33" s="39"/>
      <c r="E33" s="36">
        <v>1</v>
      </c>
      <c r="F33" s="36"/>
      <c r="G33" s="38">
        <f>G30</f>
        <v>1033040</v>
      </c>
      <c r="H33" s="38"/>
      <c r="I33" s="38">
        <f>I30</f>
        <v>307499</v>
      </c>
      <c r="J33" s="38"/>
      <c r="K33" s="38">
        <f t="shared" si="0"/>
        <v>959973080.79999995</v>
      </c>
      <c r="L33" s="38">
        <f t="shared" si="1"/>
        <v>0</v>
      </c>
      <c r="M33" s="38">
        <f t="shared" si="2"/>
        <v>285749595.73000002</v>
      </c>
      <c r="N33" s="38">
        <f t="shared" si="3"/>
        <v>0</v>
      </c>
      <c r="O33" s="38">
        <f t="shared" si="4"/>
        <v>46971411.1039</v>
      </c>
      <c r="P33" s="38">
        <f t="shared" si="5"/>
        <v>1292694087.6338999</v>
      </c>
    </row>
    <row r="34" spans="1:16" s="95" customFormat="1" ht="24.95" customHeight="1" x14ac:dyDescent="0.25">
      <c r="A34" s="90">
        <v>9</v>
      </c>
      <c r="B34" s="91" t="s">
        <v>57</v>
      </c>
      <c r="C34" s="92">
        <v>1192.1099999999999</v>
      </c>
      <c r="D34" s="93"/>
      <c r="E34" s="90"/>
      <c r="F34" s="90"/>
      <c r="G34" s="94"/>
      <c r="H34" s="94"/>
      <c r="I34" s="94"/>
      <c r="J34" s="94"/>
      <c r="K34" s="94">
        <f t="shared" si="0"/>
        <v>0</v>
      </c>
      <c r="L34" s="94">
        <f t="shared" si="1"/>
        <v>0</v>
      </c>
      <c r="M34" s="94">
        <f t="shared" si="2"/>
        <v>0</v>
      </c>
      <c r="N34" s="94">
        <f t="shared" si="3"/>
        <v>0</v>
      </c>
      <c r="O34" s="94">
        <f>O35+O36</f>
        <v>79937331.051699996</v>
      </c>
      <c r="P34" s="94">
        <f>P35+P36</f>
        <v>2181946901.3417001</v>
      </c>
    </row>
    <row r="35" spans="1:16" ht="24.95" customHeight="1" x14ac:dyDescent="0.25">
      <c r="A35" s="36"/>
      <c r="B35" s="37" t="s">
        <v>112</v>
      </c>
      <c r="C35" s="41">
        <v>256.3</v>
      </c>
      <c r="D35" s="44">
        <f>[1]Sheet1!$D$29</f>
        <v>4613.4000000000005</v>
      </c>
      <c r="E35" s="36">
        <v>2</v>
      </c>
      <c r="F35" s="36"/>
      <c r="G35" s="38">
        <f>G32</f>
        <v>220761</v>
      </c>
      <c r="H35" s="38">
        <f>H32</f>
        <v>144014</v>
      </c>
      <c r="I35" s="38">
        <f t="shared" ref="I35:J35" si="6">I32</f>
        <v>47102</v>
      </c>
      <c r="J35" s="38">
        <f t="shared" si="6"/>
        <v>24813</v>
      </c>
      <c r="K35" s="38">
        <f t="shared" si="0"/>
        <v>56581044.300000004</v>
      </c>
      <c r="L35" s="38">
        <f t="shared" si="1"/>
        <v>664394187.60000002</v>
      </c>
      <c r="M35" s="38">
        <f t="shared" si="2"/>
        <v>12072242.6</v>
      </c>
      <c r="N35" s="38">
        <f t="shared" si="3"/>
        <v>114472294.20000002</v>
      </c>
      <c r="O35" s="38">
        <f t="shared" si="4"/>
        <v>32635345.380000003</v>
      </c>
      <c r="P35" s="38">
        <f t="shared" si="5"/>
        <v>880155114.08000004</v>
      </c>
    </row>
    <row r="36" spans="1:16" ht="24.95" customHeight="1" x14ac:dyDescent="0.25">
      <c r="A36" s="36"/>
      <c r="B36" s="37" t="s">
        <v>113</v>
      </c>
      <c r="C36" s="41">
        <f>C34-C35</f>
        <v>935.81</v>
      </c>
      <c r="D36" s="44"/>
      <c r="E36" s="36">
        <v>1</v>
      </c>
      <c r="F36" s="36"/>
      <c r="G36" s="38">
        <f>G33</f>
        <v>1033040</v>
      </c>
      <c r="H36" s="38"/>
      <c r="I36" s="38">
        <f>I33</f>
        <v>307499</v>
      </c>
      <c r="J36" s="38"/>
      <c r="K36" s="38">
        <f t="shared" si="0"/>
        <v>966729162.39999998</v>
      </c>
      <c r="L36" s="38">
        <f t="shared" si="1"/>
        <v>0</v>
      </c>
      <c r="M36" s="38">
        <f t="shared" si="2"/>
        <v>287760639.19</v>
      </c>
      <c r="N36" s="38">
        <f t="shared" si="3"/>
        <v>0</v>
      </c>
      <c r="O36" s="38">
        <f t="shared" si="4"/>
        <v>47301985.671700001</v>
      </c>
      <c r="P36" s="38">
        <f t="shared" si="5"/>
        <v>1301791787.2616999</v>
      </c>
    </row>
    <row r="37" spans="1:16" s="95" customFormat="1" ht="24.95" customHeight="1" x14ac:dyDescent="0.25">
      <c r="A37" s="90">
        <v>10</v>
      </c>
      <c r="B37" s="91" t="s">
        <v>58</v>
      </c>
      <c r="C37" s="92">
        <f>C38+C39</f>
        <v>940.65</v>
      </c>
      <c r="D37" s="120"/>
      <c r="E37" s="90"/>
      <c r="F37" s="90"/>
      <c r="G37" s="94"/>
      <c r="H37" s="94"/>
      <c r="I37" s="94"/>
      <c r="J37" s="94"/>
      <c r="K37" s="94">
        <f t="shared" si="0"/>
        <v>0</v>
      </c>
      <c r="L37" s="94">
        <f t="shared" si="1"/>
        <v>0</v>
      </c>
      <c r="M37" s="94">
        <f t="shared" si="2"/>
        <v>0</v>
      </c>
      <c r="N37" s="94">
        <f t="shared" si="3"/>
        <v>0</v>
      </c>
      <c r="O37" s="94">
        <f>O38+O39</f>
        <v>60650167.090000004</v>
      </c>
      <c r="P37" s="94">
        <f>P38+P39</f>
        <v>1657161913.9400001</v>
      </c>
    </row>
    <row r="38" spans="1:16" ht="24.95" customHeight="1" x14ac:dyDescent="0.25">
      <c r="A38" s="36"/>
      <c r="B38" s="37" t="s">
        <v>112</v>
      </c>
      <c r="C38" s="41">
        <v>170.65</v>
      </c>
      <c r="D38" s="44">
        <f>[1]Sheet1!$D$32</f>
        <v>3071.7000000000003</v>
      </c>
      <c r="E38" s="36">
        <v>2</v>
      </c>
      <c r="F38" s="36"/>
      <c r="G38" s="38">
        <f>G35</f>
        <v>220761</v>
      </c>
      <c r="H38" s="38">
        <f>H35</f>
        <v>144014</v>
      </c>
      <c r="I38" s="38">
        <f t="shared" ref="I38:J38" si="7">I35</f>
        <v>47102</v>
      </c>
      <c r="J38" s="38">
        <f t="shared" si="7"/>
        <v>24813</v>
      </c>
      <c r="K38" s="38">
        <f t="shared" si="0"/>
        <v>37672864.649999999</v>
      </c>
      <c r="L38" s="38">
        <f t="shared" si="1"/>
        <v>442367803.80000001</v>
      </c>
      <c r="M38" s="38">
        <f t="shared" si="2"/>
        <v>8037956.2999999998</v>
      </c>
      <c r="N38" s="38">
        <f t="shared" si="3"/>
        <v>76218092.100000009</v>
      </c>
      <c r="O38" s="38">
        <f t="shared" si="4"/>
        <v>21729308.190000001</v>
      </c>
      <c r="P38" s="38">
        <f t="shared" si="5"/>
        <v>586026025.04000008</v>
      </c>
    </row>
    <row r="39" spans="1:16" ht="24.95" customHeight="1" x14ac:dyDescent="0.25">
      <c r="A39" s="36"/>
      <c r="B39" s="37" t="s">
        <v>113</v>
      </c>
      <c r="C39" s="41">
        <v>770</v>
      </c>
      <c r="D39" s="44"/>
      <c r="E39" s="36">
        <v>1</v>
      </c>
      <c r="F39" s="36"/>
      <c r="G39" s="38">
        <f>G36</f>
        <v>1033040</v>
      </c>
      <c r="H39" s="38"/>
      <c r="I39" s="38">
        <f>I36</f>
        <v>307499</v>
      </c>
      <c r="J39" s="38"/>
      <c r="K39" s="38">
        <f t="shared" si="0"/>
        <v>795440800</v>
      </c>
      <c r="L39" s="38">
        <f t="shared" si="1"/>
        <v>0</v>
      </c>
      <c r="M39" s="38">
        <f t="shared" si="2"/>
        <v>236774230</v>
      </c>
      <c r="N39" s="38">
        <f t="shared" si="3"/>
        <v>0</v>
      </c>
      <c r="O39" s="38">
        <f t="shared" si="4"/>
        <v>38920858.899999999</v>
      </c>
      <c r="P39" s="38">
        <f t="shared" si="5"/>
        <v>1071135888.9</v>
      </c>
    </row>
    <row r="40" spans="1:16" s="95" customFormat="1" ht="24.95" customHeight="1" x14ac:dyDescent="0.25">
      <c r="A40" s="90">
        <v>11</v>
      </c>
      <c r="B40" s="91" t="s">
        <v>59</v>
      </c>
      <c r="C40" s="92">
        <v>1045.07</v>
      </c>
      <c r="D40" s="120"/>
      <c r="E40" s="90"/>
      <c r="F40" s="90"/>
      <c r="G40" s="94"/>
      <c r="H40" s="94"/>
      <c r="I40" s="94"/>
      <c r="J40" s="94"/>
      <c r="K40" s="94">
        <f t="shared" si="0"/>
        <v>0</v>
      </c>
      <c r="L40" s="94">
        <f t="shared" si="1"/>
        <v>0</v>
      </c>
      <c r="M40" s="94">
        <f t="shared" si="2"/>
        <v>0</v>
      </c>
      <c r="N40" s="94">
        <f t="shared" si="3"/>
        <v>0</v>
      </c>
      <c r="O40" s="94">
        <f>O41+O42</f>
        <v>68407660.838100001</v>
      </c>
      <c r="P40" s="94">
        <f>P41+P42</f>
        <v>1868387410.9681001</v>
      </c>
    </row>
    <row r="41" spans="1:16" ht="24.95" customHeight="1" x14ac:dyDescent="0.25">
      <c r="A41" s="36"/>
      <c r="B41" s="37" t="s">
        <v>112</v>
      </c>
      <c r="C41" s="41">
        <v>202.94</v>
      </c>
      <c r="D41" s="44">
        <f>[1]Sheet1!$D$35</f>
        <v>3652.92</v>
      </c>
      <c r="E41" s="36">
        <v>2</v>
      </c>
      <c r="F41" s="36"/>
      <c r="G41" s="38">
        <f>G38</f>
        <v>220761</v>
      </c>
      <c r="H41" s="38">
        <f t="shared" ref="H41:J41" si="8">H38</f>
        <v>144014</v>
      </c>
      <c r="I41" s="38">
        <f t="shared" si="8"/>
        <v>47102</v>
      </c>
      <c r="J41" s="38">
        <f t="shared" si="8"/>
        <v>24813</v>
      </c>
      <c r="K41" s="38">
        <f t="shared" si="0"/>
        <v>44801237.339999996</v>
      </c>
      <c r="L41" s="38">
        <f t="shared" si="1"/>
        <v>526071620.88</v>
      </c>
      <c r="M41" s="38">
        <f t="shared" si="2"/>
        <v>9558879.8800000008</v>
      </c>
      <c r="N41" s="38">
        <f t="shared" si="3"/>
        <v>90639903.960000008</v>
      </c>
      <c r="O41" s="38">
        <f t="shared" si="4"/>
        <v>25840877.844000001</v>
      </c>
      <c r="P41" s="38">
        <f t="shared" si="5"/>
        <v>696912519.90400004</v>
      </c>
    </row>
    <row r="42" spans="1:16" ht="24.95" customHeight="1" x14ac:dyDescent="0.25">
      <c r="A42" s="36"/>
      <c r="B42" s="37" t="s">
        <v>113</v>
      </c>
      <c r="C42" s="41">
        <f>C40-C41</f>
        <v>842.12999999999988</v>
      </c>
      <c r="D42" s="39"/>
      <c r="E42" s="36">
        <v>1</v>
      </c>
      <c r="F42" s="36"/>
      <c r="G42" s="38">
        <f>G39</f>
        <v>1033040</v>
      </c>
      <c r="H42" s="38"/>
      <c r="I42" s="38">
        <f>I39</f>
        <v>307499</v>
      </c>
      <c r="J42" s="38"/>
      <c r="K42" s="38">
        <f t="shared" si="0"/>
        <v>869953975.19999993</v>
      </c>
      <c r="L42" s="38">
        <f t="shared" si="1"/>
        <v>0</v>
      </c>
      <c r="M42" s="38">
        <f t="shared" si="2"/>
        <v>258954132.86999997</v>
      </c>
      <c r="N42" s="38">
        <f t="shared" si="3"/>
        <v>0</v>
      </c>
      <c r="O42" s="38">
        <f t="shared" si="4"/>
        <v>42566782.994100004</v>
      </c>
      <c r="P42" s="38">
        <f t="shared" si="5"/>
        <v>1171474891.0641</v>
      </c>
    </row>
    <row r="43" spans="1:16" s="95" customFormat="1" ht="24.95" customHeight="1" x14ac:dyDescent="0.25">
      <c r="A43" s="90">
        <v>12</v>
      </c>
      <c r="B43" s="91" t="s">
        <v>60</v>
      </c>
      <c r="C43" s="92">
        <v>875.45</v>
      </c>
      <c r="D43" s="93"/>
      <c r="E43" s="90"/>
      <c r="F43" s="90"/>
      <c r="G43" s="94"/>
      <c r="H43" s="94"/>
      <c r="I43" s="94"/>
      <c r="J43" s="94"/>
      <c r="K43" s="94">
        <f t="shared" si="0"/>
        <v>0</v>
      </c>
      <c r="L43" s="94">
        <f t="shared" si="1"/>
        <v>0</v>
      </c>
      <c r="M43" s="94">
        <f t="shared" si="2"/>
        <v>0</v>
      </c>
      <c r="N43" s="94">
        <f t="shared" si="3"/>
        <v>0</v>
      </c>
      <c r="O43" s="94">
        <f>O44+O45</f>
        <v>58113176.702399999</v>
      </c>
      <c r="P43" s="94">
        <f>P44+P45</f>
        <v>1586647935.5524001</v>
      </c>
    </row>
    <row r="44" spans="1:16" ht="24.95" customHeight="1" x14ac:dyDescent="0.25">
      <c r="A44" s="36"/>
      <c r="B44" s="37" t="s">
        <v>112</v>
      </c>
      <c r="C44" s="41">
        <v>180.53</v>
      </c>
      <c r="D44" s="44">
        <f>[1]Sheet1!$D$38</f>
        <v>3249.54</v>
      </c>
      <c r="E44" s="36">
        <v>2</v>
      </c>
      <c r="F44" s="36"/>
      <c r="G44" s="38">
        <f>G41</f>
        <v>220761</v>
      </c>
      <c r="H44" s="38">
        <f t="shared" ref="H44:J44" si="9">H41</f>
        <v>144014</v>
      </c>
      <c r="I44" s="38">
        <f t="shared" si="9"/>
        <v>47102</v>
      </c>
      <c r="J44" s="38">
        <f t="shared" si="9"/>
        <v>24813</v>
      </c>
      <c r="K44" s="38">
        <f t="shared" si="0"/>
        <v>39853983.329999998</v>
      </c>
      <c r="L44" s="38">
        <f t="shared" si="1"/>
        <v>467979253.56</v>
      </c>
      <c r="M44" s="38">
        <f t="shared" si="2"/>
        <v>8503324.0600000005</v>
      </c>
      <c r="N44" s="38">
        <f t="shared" si="3"/>
        <v>80630836.019999996</v>
      </c>
      <c r="O44" s="38">
        <f t="shared" si="4"/>
        <v>22987354.278000001</v>
      </c>
      <c r="P44" s="38">
        <f t="shared" si="5"/>
        <v>619954751.24800003</v>
      </c>
    </row>
    <row r="45" spans="1:16" ht="24.95" customHeight="1" x14ac:dyDescent="0.25">
      <c r="A45" s="36"/>
      <c r="B45" s="37" t="s">
        <v>113</v>
      </c>
      <c r="C45" s="41">
        <f>C43-C44</f>
        <v>694.92000000000007</v>
      </c>
      <c r="D45" s="44"/>
      <c r="E45" s="36">
        <v>1</v>
      </c>
      <c r="F45" s="36"/>
      <c r="G45" s="38">
        <f>G42</f>
        <v>1033040</v>
      </c>
      <c r="H45" s="38"/>
      <c r="I45" s="38">
        <f>I42</f>
        <v>307499</v>
      </c>
      <c r="J45" s="38"/>
      <c r="K45" s="38">
        <f t="shared" ref="K45:K64" si="10">C45*G45</f>
        <v>717880156.80000007</v>
      </c>
      <c r="L45" s="38">
        <f t="shared" ref="L45:L64" si="11">D45*H45</f>
        <v>0</v>
      </c>
      <c r="M45" s="38">
        <f t="shared" ref="M45:M64" si="12">C45*I45</f>
        <v>213687205.08000001</v>
      </c>
      <c r="N45" s="38">
        <f t="shared" ref="N45:N64" si="13">D45*J45</f>
        <v>0</v>
      </c>
      <c r="O45" s="38">
        <f t="shared" si="4"/>
        <v>35125822.424400002</v>
      </c>
      <c r="P45" s="38">
        <f t="shared" si="5"/>
        <v>966693184.30440009</v>
      </c>
    </row>
    <row r="46" spans="1:16" s="95" customFormat="1" ht="24.95" customHeight="1" x14ac:dyDescent="0.25">
      <c r="A46" s="90">
        <v>13</v>
      </c>
      <c r="B46" s="91" t="s">
        <v>61</v>
      </c>
      <c r="C46" s="92">
        <v>600</v>
      </c>
      <c r="D46" s="120"/>
      <c r="E46" s="90"/>
      <c r="F46" s="90"/>
      <c r="G46" s="94"/>
      <c r="H46" s="94"/>
      <c r="I46" s="94"/>
      <c r="J46" s="94"/>
      <c r="K46" s="94">
        <f t="shared" si="10"/>
        <v>0</v>
      </c>
      <c r="L46" s="94">
        <f t="shared" si="11"/>
        <v>0</v>
      </c>
      <c r="M46" s="94">
        <f t="shared" si="12"/>
        <v>0</v>
      </c>
      <c r="N46" s="94">
        <f t="shared" si="13"/>
        <v>0</v>
      </c>
      <c r="O46" s="94">
        <f>O47+O48</f>
        <v>40353893.937099993</v>
      </c>
      <c r="P46" s="94">
        <f>P47+P48</f>
        <v>1101405333.6371</v>
      </c>
    </row>
    <row r="47" spans="1:16" ht="24.95" customHeight="1" x14ac:dyDescent="0.25">
      <c r="A47" s="36"/>
      <c r="B47" s="37" t="s">
        <v>112</v>
      </c>
      <c r="C47" s="41">
        <v>130.57</v>
      </c>
      <c r="D47" s="44">
        <f>[1]Sheet1!$D$41</f>
        <v>2350.2599999999998</v>
      </c>
      <c r="E47" s="36">
        <v>2</v>
      </c>
      <c r="F47" s="36"/>
      <c r="G47" s="38">
        <f>G44</f>
        <v>220761</v>
      </c>
      <c r="H47" s="38">
        <f t="shared" ref="H47:J47" si="14">H44</f>
        <v>144014</v>
      </c>
      <c r="I47" s="38">
        <f t="shared" si="14"/>
        <v>47102</v>
      </c>
      <c r="J47" s="38">
        <f t="shared" si="14"/>
        <v>24813</v>
      </c>
      <c r="K47" s="38">
        <f t="shared" si="10"/>
        <v>28824763.77</v>
      </c>
      <c r="L47" s="38">
        <f t="shared" si="11"/>
        <v>338470343.63999999</v>
      </c>
      <c r="M47" s="38">
        <f t="shared" si="12"/>
        <v>6150108.1399999997</v>
      </c>
      <c r="N47" s="38">
        <f t="shared" si="13"/>
        <v>58317001.379999995</v>
      </c>
      <c r="O47" s="38">
        <f t="shared" si="4"/>
        <v>16625817.581999999</v>
      </c>
      <c r="P47" s="38">
        <f t="shared" si="5"/>
        <v>448388034.51199996</v>
      </c>
    </row>
    <row r="48" spans="1:16" ht="24.95" customHeight="1" x14ac:dyDescent="0.25">
      <c r="A48" s="36"/>
      <c r="B48" s="37" t="s">
        <v>113</v>
      </c>
      <c r="C48" s="41">
        <f>C46-C47</f>
        <v>469.43</v>
      </c>
      <c r="D48" s="44"/>
      <c r="E48" s="36">
        <v>1</v>
      </c>
      <c r="F48" s="36"/>
      <c r="G48" s="38">
        <f>G45</f>
        <v>1033040</v>
      </c>
      <c r="H48" s="38"/>
      <c r="I48" s="38">
        <f>I45</f>
        <v>307499</v>
      </c>
      <c r="J48" s="38"/>
      <c r="K48" s="38">
        <f t="shared" si="10"/>
        <v>484939967.19999999</v>
      </c>
      <c r="L48" s="38">
        <f t="shared" si="11"/>
        <v>0</v>
      </c>
      <c r="M48" s="38">
        <f t="shared" si="12"/>
        <v>144349255.56999999</v>
      </c>
      <c r="N48" s="38">
        <f t="shared" si="13"/>
        <v>0</v>
      </c>
      <c r="O48" s="38">
        <f t="shared" si="4"/>
        <v>23728076.355099998</v>
      </c>
      <c r="P48" s="38">
        <f t="shared" si="5"/>
        <v>653017299.12510002</v>
      </c>
    </row>
    <row r="49" spans="1:16" s="95" customFormat="1" ht="24.95" customHeight="1" x14ac:dyDescent="0.25">
      <c r="A49" s="90">
        <v>14</v>
      </c>
      <c r="B49" s="91" t="s">
        <v>62</v>
      </c>
      <c r="C49" s="92">
        <v>1167.5</v>
      </c>
      <c r="D49" s="120"/>
      <c r="E49" s="90"/>
      <c r="F49" s="90"/>
      <c r="G49" s="94"/>
      <c r="H49" s="94"/>
      <c r="I49" s="94"/>
      <c r="J49" s="94"/>
      <c r="K49" s="94">
        <f t="shared" si="10"/>
        <v>0</v>
      </c>
      <c r="L49" s="94">
        <f t="shared" si="11"/>
        <v>0</v>
      </c>
      <c r="M49" s="94">
        <f t="shared" si="12"/>
        <v>0</v>
      </c>
      <c r="N49" s="94">
        <f t="shared" si="13"/>
        <v>0</v>
      </c>
      <c r="O49" s="94">
        <f>O50+O51</f>
        <v>122363618.825</v>
      </c>
      <c r="P49" s="94">
        <f>P50+P51</f>
        <v>3297644858.8249998</v>
      </c>
    </row>
    <row r="50" spans="1:16" ht="24.95" customHeight="1" x14ac:dyDescent="0.25">
      <c r="A50" s="36"/>
      <c r="B50" s="37" t="s">
        <v>113</v>
      </c>
      <c r="C50" s="41">
        <f>C49-C51</f>
        <v>567.5</v>
      </c>
      <c r="D50" s="44">
        <f>[1]Sheet1!$D$44</f>
        <v>10215</v>
      </c>
      <c r="E50" s="36">
        <v>2</v>
      </c>
      <c r="F50" s="36">
        <v>0.1</v>
      </c>
      <c r="G50" s="38">
        <f>88976+1871</f>
        <v>90847</v>
      </c>
      <c r="H50" s="38">
        <f>7250+140+187754+3422</f>
        <v>198566</v>
      </c>
      <c r="I50" s="38">
        <f>3177+52+3787+105+6949+209</f>
        <v>14279</v>
      </c>
      <c r="J50" s="38">
        <f>11581+109+6588+184+7681+160</f>
        <v>26303</v>
      </c>
      <c r="K50" s="38">
        <f t="shared" si="10"/>
        <v>51555672.5</v>
      </c>
      <c r="L50" s="38">
        <f t="shared" si="11"/>
        <v>2028351690</v>
      </c>
      <c r="M50" s="38">
        <f t="shared" si="12"/>
        <v>8103332.5</v>
      </c>
      <c r="N50" s="38">
        <f t="shared" si="13"/>
        <v>268685145</v>
      </c>
      <c r="O50" s="38">
        <f t="shared" si="4"/>
        <v>91499948.825000003</v>
      </c>
      <c r="P50" s="38">
        <f t="shared" si="5"/>
        <v>2448195788.8249998</v>
      </c>
    </row>
    <row r="51" spans="1:16" ht="24.95" customHeight="1" x14ac:dyDescent="0.25">
      <c r="A51" s="36"/>
      <c r="B51" s="37" t="s">
        <v>113</v>
      </c>
      <c r="C51" s="41">
        <v>600</v>
      </c>
      <c r="D51" s="39"/>
      <c r="E51" s="36">
        <v>1</v>
      </c>
      <c r="F51" s="36">
        <v>0.1</v>
      </c>
      <c r="G51" s="38">
        <f>1033040+17978</f>
        <v>1051018</v>
      </c>
      <c r="H51" s="38"/>
      <c r="I51" s="38">
        <f>307499+5792</f>
        <v>313291</v>
      </c>
      <c r="J51" s="38"/>
      <c r="K51" s="38">
        <f t="shared" si="10"/>
        <v>630610800</v>
      </c>
      <c r="L51" s="38">
        <f t="shared" si="11"/>
        <v>0</v>
      </c>
      <c r="M51" s="38">
        <f t="shared" si="12"/>
        <v>187974600</v>
      </c>
      <c r="N51" s="38">
        <f t="shared" si="13"/>
        <v>0</v>
      </c>
      <c r="O51" s="38">
        <f t="shared" si="4"/>
        <v>30863670</v>
      </c>
      <c r="P51" s="38">
        <f t="shared" si="5"/>
        <v>849449070</v>
      </c>
    </row>
    <row r="52" spans="1:16" s="95" customFormat="1" ht="24.95" customHeight="1" x14ac:dyDescent="0.25">
      <c r="A52" s="90">
        <v>15</v>
      </c>
      <c r="B52" s="91" t="s">
        <v>63</v>
      </c>
      <c r="C52" s="92">
        <v>925</v>
      </c>
      <c r="D52" s="93"/>
      <c r="E52" s="90"/>
      <c r="F52" s="90"/>
      <c r="G52" s="94"/>
      <c r="H52" s="94"/>
      <c r="I52" s="94"/>
      <c r="J52" s="94"/>
      <c r="K52" s="94">
        <f t="shared" si="10"/>
        <v>0</v>
      </c>
      <c r="L52" s="94">
        <f t="shared" si="11"/>
        <v>0</v>
      </c>
      <c r="M52" s="94">
        <f t="shared" si="12"/>
        <v>0</v>
      </c>
      <c r="N52" s="94">
        <f t="shared" si="13"/>
        <v>0</v>
      </c>
      <c r="O52" s="94">
        <f>O53</f>
        <v>146477755.25</v>
      </c>
      <c r="P52" s="94">
        <f>P53</f>
        <v>3919363130.25</v>
      </c>
    </row>
    <row r="53" spans="1:16" ht="24.95" customHeight="1" x14ac:dyDescent="0.25">
      <c r="A53" s="36"/>
      <c r="B53" s="37" t="s">
        <v>113</v>
      </c>
      <c r="C53" s="41">
        <v>925</v>
      </c>
      <c r="D53" s="44">
        <f>[1]Sheet1!$D$47</f>
        <v>16650</v>
      </c>
      <c r="E53" s="36">
        <v>2</v>
      </c>
      <c r="F53" s="36"/>
      <c r="G53" s="38">
        <v>88976</v>
      </c>
      <c r="H53" s="38">
        <f>7250+187754</f>
        <v>195004</v>
      </c>
      <c r="I53" s="38">
        <f>3711+3787+6949</f>
        <v>14447</v>
      </c>
      <c r="J53" s="38">
        <f>11581+6588+7681</f>
        <v>25850</v>
      </c>
      <c r="K53" s="38">
        <f t="shared" si="10"/>
        <v>82302800</v>
      </c>
      <c r="L53" s="38">
        <f t="shared" si="11"/>
        <v>3246816600</v>
      </c>
      <c r="M53" s="38">
        <f t="shared" si="12"/>
        <v>13363475</v>
      </c>
      <c r="N53" s="38">
        <f t="shared" si="13"/>
        <v>430402500</v>
      </c>
      <c r="O53" s="38">
        <f t="shared" si="4"/>
        <v>146477755.25</v>
      </c>
      <c r="P53" s="38">
        <f t="shared" si="5"/>
        <v>3919363130.25</v>
      </c>
    </row>
    <row r="54" spans="1:16" s="95" customFormat="1" ht="36" customHeight="1" x14ac:dyDescent="0.25">
      <c r="A54" s="90">
        <v>16</v>
      </c>
      <c r="B54" s="91" t="s">
        <v>64</v>
      </c>
      <c r="C54" s="92">
        <v>682</v>
      </c>
      <c r="D54" s="93"/>
      <c r="E54" s="90"/>
      <c r="F54" s="90"/>
      <c r="G54" s="94"/>
      <c r="H54" s="94"/>
      <c r="I54" s="94"/>
      <c r="J54" s="94"/>
      <c r="K54" s="94">
        <f t="shared" si="10"/>
        <v>0</v>
      </c>
      <c r="L54" s="94">
        <f t="shared" si="11"/>
        <v>0</v>
      </c>
      <c r="M54" s="94">
        <f t="shared" si="12"/>
        <v>0</v>
      </c>
      <c r="N54" s="94">
        <f t="shared" si="13"/>
        <v>0</v>
      </c>
      <c r="O54" s="94">
        <f>O55+O56</f>
        <v>55812235.739999995</v>
      </c>
      <c r="P54" s="94">
        <f>P55+P56</f>
        <v>1534316833.74</v>
      </c>
    </row>
    <row r="55" spans="1:16" ht="24.95" customHeight="1" x14ac:dyDescent="0.25">
      <c r="A55" s="36"/>
      <c r="B55" s="37" t="s">
        <v>112</v>
      </c>
      <c r="C55" s="41">
        <v>250</v>
      </c>
      <c r="D55" s="39"/>
      <c r="E55" s="36">
        <v>2</v>
      </c>
      <c r="F55" s="36"/>
      <c r="G55" s="38">
        <v>2797746</v>
      </c>
      <c r="H55" s="38"/>
      <c r="I55" s="38">
        <v>799821</v>
      </c>
      <c r="J55" s="38"/>
      <c r="K55" s="38">
        <f t="shared" si="10"/>
        <v>699436500</v>
      </c>
      <c r="L55" s="38">
        <f t="shared" si="11"/>
        <v>0</v>
      </c>
      <c r="M55" s="38">
        <f t="shared" si="12"/>
        <v>199955250</v>
      </c>
      <c r="N55" s="38">
        <f t="shared" si="13"/>
        <v>0</v>
      </c>
      <c r="O55" s="38">
        <f t="shared" si="4"/>
        <v>33976117.5</v>
      </c>
      <c r="P55" s="38">
        <f t="shared" si="5"/>
        <v>933367867.5</v>
      </c>
    </row>
    <row r="56" spans="1:16" ht="24.95" customHeight="1" x14ac:dyDescent="0.25">
      <c r="A56" s="36"/>
      <c r="B56" s="37" t="s">
        <v>113</v>
      </c>
      <c r="C56" s="41">
        <f>C54-C55</f>
        <v>432</v>
      </c>
      <c r="D56" s="39"/>
      <c r="E56" s="36">
        <v>1</v>
      </c>
      <c r="F56" s="36"/>
      <c r="G56" s="38">
        <v>1033040</v>
      </c>
      <c r="H56" s="38"/>
      <c r="I56" s="38">
        <v>307499</v>
      </c>
      <c r="J56" s="38"/>
      <c r="K56" s="38">
        <f t="shared" si="10"/>
        <v>446273280</v>
      </c>
      <c r="L56" s="38">
        <f t="shared" si="11"/>
        <v>0</v>
      </c>
      <c r="M56" s="38">
        <f t="shared" si="12"/>
        <v>132839568</v>
      </c>
      <c r="N56" s="38">
        <f t="shared" si="13"/>
        <v>0</v>
      </c>
      <c r="O56" s="38">
        <f t="shared" si="4"/>
        <v>21836118.239999998</v>
      </c>
      <c r="P56" s="38">
        <f t="shared" si="5"/>
        <v>600948966.24000001</v>
      </c>
    </row>
    <row r="57" spans="1:16" s="95" customFormat="1" ht="24.95" customHeight="1" x14ac:dyDescent="0.25">
      <c r="A57" s="90">
        <v>17</v>
      </c>
      <c r="B57" s="91" t="s">
        <v>65</v>
      </c>
      <c r="C57" s="92">
        <f>C58</f>
        <v>1401.34</v>
      </c>
      <c r="D57" s="93"/>
      <c r="E57" s="90"/>
      <c r="F57" s="90"/>
      <c r="G57" s="94"/>
      <c r="H57" s="94"/>
      <c r="I57" s="94"/>
      <c r="J57" s="94"/>
      <c r="K57" s="94">
        <f t="shared" si="10"/>
        <v>0</v>
      </c>
      <c r="L57" s="94">
        <f t="shared" si="11"/>
        <v>0</v>
      </c>
      <c r="M57" s="94">
        <f t="shared" si="12"/>
        <v>0</v>
      </c>
      <c r="N57" s="94">
        <f t="shared" si="13"/>
        <v>0</v>
      </c>
      <c r="O57" s="94">
        <f>O58</f>
        <v>221908256.80219999</v>
      </c>
      <c r="P57" s="94">
        <f>P58</f>
        <v>5937686842.1021996</v>
      </c>
    </row>
    <row r="58" spans="1:16" ht="24.95" customHeight="1" x14ac:dyDescent="0.25">
      <c r="A58" s="36"/>
      <c r="B58" s="37" t="s">
        <v>113</v>
      </c>
      <c r="C58" s="41">
        <v>1401.34</v>
      </c>
      <c r="D58" s="44">
        <f>[1]Sheet1!$D$52</f>
        <v>25224.12</v>
      </c>
      <c r="E58" s="36">
        <v>2</v>
      </c>
      <c r="F58" s="36"/>
      <c r="G58" s="38">
        <f>G53</f>
        <v>88976</v>
      </c>
      <c r="H58" s="38">
        <f t="shared" ref="H58:J58" si="15">H53</f>
        <v>195004</v>
      </c>
      <c r="I58" s="38">
        <f t="shared" si="15"/>
        <v>14447</v>
      </c>
      <c r="J58" s="38">
        <f t="shared" si="15"/>
        <v>25850</v>
      </c>
      <c r="K58" s="38">
        <f t="shared" si="10"/>
        <v>124685627.83999999</v>
      </c>
      <c r="L58" s="38">
        <f t="shared" si="11"/>
        <v>4918804296.4799995</v>
      </c>
      <c r="M58" s="38">
        <f t="shared" si="12"/>
        <v>20245158.98</v>
      </c>
      <c r="N58" s="38">
        <f t="shared" si="13"/>
        <v>652043502</v>
      </c>
      <c r="O58" s="38">
        <f t="shared" si="4"/>
        <v>221908256.80219999</v>
      </c>
      <c r="P58" s="38">
        <f t="shared" si="5"/>
        <v>5937686842.1021996</v>
      </c>
    </row>
    <row r="59" spans="1:16" s="95" customFormat="1" ht="24.95" customHeight="1" x14ac:dyDescent="0.25">
      <c r="A59" s="90">
        <v>18</v>
      </c>
      <c r="B59" s="91" t="s">
        <v>66</v>
      </c>
      <c r="C59" s="92">
        <f>C60+C61</f>
        <v>750</v>
      </c>
      <c r="D59" s="93"/>
      <c r="E59" s="90"/>
      <c r="F59" s="90"/>
      <c r="G59" s="94"/>
      <c r="H59" s="94"/>
      <c r="I59" s="94"/>
      <c r="J59" s="94"/>
      <c r="K59" s="94">
        <f t="shared" si="10"/>
        <v>0</v>
      </c>
      <c r="L59" s="94">
        <f t="shared" si="11"/>
        <v>0</v>
      </c>
      <c r="M59" s="94">
        <f t="shared" si="12"/>
        <v>0</v>
      </c>
      <c r="N59" s="94">
        <f t="shared" si="13"/>
        <v>0</v>
      </c>
      <c r="O59" s="94">
        <f>O60+O61</f>
        <v>36935322</v>
      </c>
      <c r="P59" s="94">
        <f>P60+P61</f>
        <v>1003352172</v>
      </c>
    </row>
    <row r="60" spans="1:16" ht="24.95" customHeight="1" x14ac:dyDescent="0.25">
      <c r="A60" s="36"/>
      <c r="B60" s="37" t="s">
        <v>112</v>
      </c>
      <c r="C60" s="41">
        <v>150</v>
      </c>
      <c r="D60" s="39"/>
      <c r="E60" s="36">
        <v>2</v>
      </c>
      <c r="F60" s="36">
        <v>0.5</v>
      </c>
      <c r="G60" s="38">
        <f>2797746+48369*5</f>
        <v>3039591</v>
      </c>
      <c r="H60" s="38"/>
      <c r="I60" s="38">
        <f>799821+14659*5</f>
        <v>873116</v>
      </c>
      <c r="J60" s="38"/>
      <c r="K60" s="38">
        <f t="shared" si="10"/>
        <v>455938650</v>
      </c>
      <c r="L60" s="38">
        <f t="shared" si="11"/>
        <v>0</v>
      </c>
      <c r="M60" s="38">
        <f t="shared" si="12"/>
        <v>130967400</v>
      </c>
      <c r="N60" s="38">
        <f t="shared" si="13"/>
        <v>0</v>
      </c>
      <c r="O60" s="38">
        <f t="shared" si="4"/>
        <v>22166568</v>
      </c>
      <c r="P60" s="38">
        <f t="shared" si="5"/>
        <v>609072618</v>
      </c>
    </row>
    <row r="61" spans="1:16" ht="24.95" customHeight="1" x14ac:dyDescent="0.25">
      <c r="A61" s="36"/>
      <c r="B61" s="37" t="s">
        <v>114</v>
      </c>
      <c r="C61" s="41">
        <v>600</v>
      </c>
      <c r="D61" s="39"/>
      <c r="E61" s="36">
        <v>3</v>
      </c>
      <c r="F61" s="36">
        <v>0.5</v>
      </c>
      <c r="G61" s="38">
        <f>518185+9144*5</f>
        <v>563905</v>
      </c>
      <c r="H61" s="38"/>
      <c r="I61" s="38">
        <f>67582+1031</f>
        <v>68613</v>
      </c>
      <c r="J61" s="38"/>
      <c r="K61" s="38">
        <f t="shared" si="10"/>
        <v>338343000</v>
      </c>
      <c r="L61" s="38">
        <f t="shared" si="11"/>
        <v>0</v>
      </c>
      <c r="M61" s="38">
        <f t="shared" si="12"/>
        <v>41167800</v>
      </c>
      <c r="N61" s="38">
        <f t="shared" si="13"/>
        <v>0</v>
      </c>
      <c r="O61" s="38">
        <f t="shared" si="4"/>
        <v>14768754</v>
      </c>
      <c r="P61" s="38">
        <f t="shared" si="5"/>
        <v>394279554</v>
      </c>
    </row>
    <row r="62" spans="1:16" s="95" customFormat="1" ht="24.95" customHeight="1" x14ac:dyDescent="0.25">
      <c r="A62" s="90">
        <v>19</v>
      </c>
      <c r="B62" s="91" t="s">
        <v>67</v>
      </c>
      <c r="C62" s="92">
        <v>950</v>
      </c>
      <c r="D62" s="93"/>
      <c r="E62" s="90"/>
      <c r="F62" s="90"/>
      <c r="G62" s="94"/>
      <c r="H62" s="94"/>
      <c r="I62" s="94"/>
      <c r="J62" s="94"/>
      <c r="K62" s="94">
        <f t="shared" si="10"/>
        <v>0</v>
      </c>
      <c r="L62" s="94">
        <f t="shared" si="11"/>
        <v>0</v>
      </c>
      <c r="M62" s="94">
        <f t="shared" si="12"/>
        <v>0</v>
      </c>
      <c r="N62" s="94">
        <f t="shared" si="13"/>
        <v>0</v>
      </c>
      <c r="O62" s="94">
        <f>O63+O64</f>
        <v>44915513.600000009</v>
      </c>
      <c r="P62" s="94">
        <f>P63+P64</f>
        <v>1220237323.5999999</v>
      </c>
    </row>
    <row r="63" spans="1:16" ht="24.95" customHeight="1" x14ac:dyDescent="0.25">
      <c r="A63" s="36"/>
      <c r="B63" s="37" t="s">
        <v>112</v>
      </c>
      <c r="C63" s="41">
        <v>180</v>
      </c>
      <c r="D63" s="39"/>
      <c r="E63" s="36">
        <v>2</v>
      </c>
      <c r="F63" s="36">
        <v>0.4</v>
      </c>
      <c r="G63" s="38">
        <f>2797746+48369*4</f>
        <v>2991222</v>
      </c>
      <c r="H63" s="38"/>
      <c r="I63" s="38">
        <f>799821+14659*4</f>
        <v>858457</v>
      </c>
      <c r="J63" s="38"/>
      <c r="K63" s="38">
        <f t="shared" si="10"/>
        <v>538419960</v>
      </c>
      <c r="L63" s="38">
        <f t="shared" si="11"/>
        <v>0</v>
      </c>
      <c r="M63" s="38">
        <f t="shared" si="12"/>
        <v>154522260</v>
      </c>
      <c r="N63" s="38">
        <f t="shared" si="13"/>
        <v>0</v>
      </c>
      <c r="O63" s="38">
        <f t="shared" si="4"/>
        <v>26172466.200000003</v>
      </c>
      <c r="P63" s="38">
        <f t="shared" si="5"/>
        <v>719114686.20000005</v>
      </c>
    </row>
    <row r="64" spans="1:16" ht="24.95" customHeight="1" x14ac:dyDescent="0.25">
      <c r="A64" s="36"/>
      <c r="B64" s="37" t="s">
        <v>114</v>
      </c>
      <c r="C64" s="41">
        <f>C62-C63</f>
        <v>770</v>
      </c>
      <c r="D64" s="39"/>
      <c r="E64" s="36">
        <v>3</v>
      </c>
      <c r="F64" s="36">
        <v>0.4</v>
      </c>
      <c r="G64" s="38">
        <f>518185+9144*4</f>
        <v>554761</v>
      </c>
      <c r="H64" s="38"/>
      <c r="I64" s="38">
        <f>67582+1031*4</f>
        <v>71706</v>
      </c>
      <c r="J64" s="38"/>
      <c r="K64" s="38">
        <f t="shared" si="10"/>
        <v>427165970</v>
      </c>
      <c r="L64" s="38">
        <f t="shared" si="11"/>
        <v>0</v>
      </c>
      <c r="M64" s="38">
        <f t="shared" si="12"/>
        <v>55213620</v>
      </c>
      <c r="N64" s="38">
        <f t="shared" si="13"/>
        <v>0</v>
      </c>
      <c r="O64" s="40">
        <f t="shared" si="4"/>
        <v>18743047.400000002</v>
      </c>
      <c r="P64" s="38">
        <f t="shared" si="5"/>
        <v>501122637.39999998</v>
      </c>
    </row>
    <row r="65" spans="1:16" s="96" customFormat="1" ht="24.95" customHeight="1" x14ac:dyDescent="0.25">
      <c r="A65" s="97"/>
      <c r="B65" s="98" t="s">
        <v>115</v>
      </c>
      <c r="C65" s="60"/>
      <c r="D65" s="60"/>
      <c r="E65" s="99"/>
      <c r="F65" s="99"/>
      <c r="G65" s="100"/>
      <c r="H65" s="100"/>
      <c r="I65" s="100"/>
      <c r="J65" s="100"/>
      <c r="K65" s="100"/>
      <c r="L65" s="100"/>
      <c r="M65" s="100"/>
      <c r="N65" s="100"/>
      <c r="O65" s="101">
        <f>O28+O31+O34+O37+O40+O43+O46+O49+O52+O54+O57+O59+O62</f>
        <v>1075593684.6143999</v>
      </c>
      <c r="P65" s="101">
        <f>P28+P31+P34+P37+P40+P43+P46+P49+P52+P54+P57+P59+P62</f>
        <v>29139518515.274399</v>
      </c>
    </row>
    <row r="66" spans="1:16" s="96" customFormat="1" ht="24.95" customHeight="1" x14ac:dyDescent="0.25">
      <c r="A66" s="97"/>
      <c r="B66" s="178" t="s">
        <v>166</v>
      </c>
      <c r="C66" s="178"/>
      <c r="D66" s="60"/>
      <c r="E66" s="99"/>
      <c r="F66" s="99"/>
      <c r="G66" s="100"/>
      <c r="H66" s="100"/>
      <c r="I66" s="100"/>
      <c r="J66" s="100"/>
      <c r="K66" s="100"/>
      <c r="L66" s="100"/>
      <c r="M66" s="100"/>
      <c r="N66" s="100"/>
      <c r="O66" s="101"/>
      <c r="P66" s="101">
        <f>(P65-(P65*0.1))</f>
        <v>26225566663.74696</v>
      </c>
    </row>
    <row r="67" spans="1:16" s="96" customFormat="1" ht="24.95" customHeight="1" x14ac:dyDescent="0.25">
      <c r="A67" s="97"/>
      <c r="B67" s="98" t="s">
        <v>116</v>
      </c>
      <c r="C67" s="60"/>
      <c r="D67" s="60"/>
      <c r="E67" s="99"/>
      <c r="F67" s="99"/>
      <c r="G67" s="100"/>
      <c r="H67" s="100"/>
      <c r="I67" s="100"/>
      <c r="J67" s="100"/>
      <c r="K67" s="100"/>
      <c r="L67" s="100"/>
      <c r="M67" s="100"/>
      <c r="N67" s="100"/>
      <c r="O67" s="101">
        <f>O65*10%</f>
        <v>107559368.46144</v>
      </c>
      <c r="P67" s="102">
        <f>P66*10%</f>
        <v>2622556666.3746963</v>
      </c>
    </row>
    <row r="68" spans="1:16" s="96" customFormat="1" ht="24.95" customHeight="1" x14ac:dyDescent="0.25">
      <c r="A68" s="103"/>
      <c r="B68" s="104" t="s">
        <v>237</v>
      </c>
      <c r="C68" s="105"/>
      <c r="D68" s="105"/>
      <c r="E68" s="106"/>
      <c r="F68" s="106"/>
      <c r="G68" s="107"/>
      <c r="H68" s="107"/>
      <c r="I68" s="107"/>
      <c r="J68" s="107"/>
      <c r="K68" s="107"/>
      <c r="L68" s="107"/>
      <c r="M68" s="107"/>
      <c r="N68" s="107"/>
      <c r="O68" s="107">
        <f>O65+O67</f>
        <v>1183153053.07584</v>
      </c>
      <c r="P68" s="102">
        <f>P66+P67</f>
        <v>28848123330.121655</v>
      </c>
    </row>
    <row r="69" spans="1:16" ht="22.5" customHeight="1" x14ac:dyDescent="0.25">
      <c r="A69" s="224"/>
      <c r="B69" s="225" t="s">
        <v>143</v>
      </c>
      <c r="C69" s="224"/>
      <c r="D69" s="224"/>
      <c r="E69" s="224"/>
      <c r="F69" s="224"/>
      <c r="G69" s="224"/>
      <c r="H69" s="224"/>
      <c r="I69" s="224"/>
      <c r="J69" s="224"/>
      <c r="K69" s="224"/>
      <c r="L69" s="224"/>
      <c r="M69" s="224"/>
      <c r="N69" s="224"/>
      <c r="O69" s="224"/>
      <c r="P69" s="226">
        <f>P26+P68</f>
        <v>47050387655.289383</v>
      </c>
    </row>
    <row r="70" spans="1:16" x14ac:dyDescent="0.25">
      <c r="A70" s="7"/>
      <c r="B70" s="227" t="s">
        <v>152</v>
      </c>
      <c r="C70" s="7"/>
      <c r="D70" s="7"/>
      <c r="E70" s="7"/>
      <c r="F70" s="7"/>
      <c r="G70" s="7"/>
      <c r="H70" s="7"/>
      <c r="I70" s="7"/>
      <c r="J70" s="7"/>
      <c r="K70" s="7"/>
      <c r="L70" s="7"/>
      <c r="M70" s="7"/>
      <c r="N70" s="7"/>
      <c r="O70" s="7"/>
      <c r="P70" s="228">
        <f>ROUNDDOWN(P69,-6)</f>
        <v>47050000000</v>
      </c>
    </row>
    <row r="71" spans="1:16" x14ac:dyDescent="0.25">
      <c r="P71" s="71"/>
    </row>
    <row r="72" spans="1:16" x14ac:dyDescent="0.25">
      <c r="P72" s="71"/>
    </row>
  </sheetData>
  <mergeCells count="16">
    <mergeCell ref="B24:C24"/>
    <mergeCell ref="B66:C66"/>
    <mergeCell ref="G4:H4"/>
    <mergeCell ref="I4:J4"/>
    <mergeCell ref="K4:L4"/>
    <mergeCell ref="M4:N4"/>
    <mergeCell ref="A1:P1"/>
    <mergeCell ref="A3:A5"/>
    <mergeCell ref="B3:B5"/>
    <mergeCell ref="C3:D4"/>
    <mergeCell ref="E3:E5"/>
    <mergeCell ref="F3:F5"/>
    <mergeCell ref="G3:J3"/>
    <mergeCell ref="K3:N3"/>
    <mergeCell ref="O3:O5"/>
    <mergeCell ref="P3:P5"/>
  </mergeCells>
  <printOptions horizontalCentered="1"/>
  <pageMargins left="0.23622047244094491" right="0.19685039370078741" top="0.51181102362204722" bottom="0.6692913385826772" header="0.23622047244094491" footer="0.31496062992125984"/>
  <pageSetup paperSize="9" scale="85" firstPageNumber="35"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PL01</vt:lpstr>
      <vt:lpstr>PL02</vt:lpstr>
      <vt:lpstr>PL03</vt:lpstr>
      <vt:lpstr>PL04</vt:lpstr>
      <vt:lpstr>PL05</vt:lpstr>
      <vt:lpstr>PL06</vt:lpstr>
      <vt:lpstr>PL07</vt:lpstr>
      <vt:lpstr>PL08</vt:lpstr>
      <vt:lpstr>PL09</vt:lpstr>
      <vt:lpstr>PL10</vt:lpstr>
      <vt:lpstr>PL11</vt:lpstr>
      <vt:lpstr>PL12</vt:lpstr>
      <vt:lpstr>'PL10'!Print_Area</vt:lpstr>
      <vt:lpstr>'PL01'!Print_Titles</vt:lpstr>
      <vt:lpstr>'PL04'!Print_Titles</vt:lpstr>
      <vt:lpstr>'PL06'!Print_Titles</vt:lpstr>
      <vt:lpstr>'PL09'!Print_Titles</vt:lpstr>
      <vt:lpstr>'PL10'!Print_Titles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Thanhsen</dc:creator>
  <cp:lastModifiedBy>AutoBVT</cp:lastModifiedBy>
  <cp:lastPrinted>2019-11-26T03:33:42Z</cp:lastPrinted>
  <dcterms:created xsi:type="dcterms:W3CDTF">2018-08-13T09:33:38Z</dcterms:created>
  <dcterms:modified xsi:type="dcterms:W3CDTF">2019-12-01T04:31:25Z</dcterms:modified>
</cp:coreProperties>
</file>