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g viec moi\Google Drive\2019\HDND tinh\Ky hop cuoi nam 2019\Thu chi\"/>
    </mc:Choice>
  </mc:AlternateContent>
  <bookViews>
    <workbookView xWindow="0" yWindow="0" windowWidth="24000" windowHeight="9030" activeTab="2"/>
  </bookViews>
  <sheets>
    <sheet name="Biểu cân  đối" sheetId="6" r:id="rId1"/>
    <sheet name="Quyết toán thu" sheetId="1" r:id="rId2"/>
    <sheet name="Quyết toán chi" sheetId="5" r:id="rId3"/>
  </sheets>
  <definedNames>
    <definedName name="_xlnm.Print_Area" localSheetId="0">'Biểu cân  đối'!$A$1:$J$21</definedName>
    <definedName name="_xlnm.Print_Area" localSheetId="2">'Quyết toán chi'!$A$1:$J$48</definedName>
    <definedName name="_xlnm.Print_Area" localSheetId="1">'Quyết toán thu'!$A$1:$K$84</definedName>
    <definedName name="_xlnm.Print_Titles" localSheetId="2">'Quyết toán chi'!$5:$6</definedName>
    <definedName name="_xlnm.Print_Titles" localSheetId="1">'Quyết toán thu'!$5:$7</definedName>
  </definedNames>
  <calcPr calcId="162913"/>
</workbook>
</file>

<file path=xl/calcChain.xml><?xml version="1.0" encoding="utf-8"?>
<calcChain xmlns="http://schemas.openxmlformats.org/spreadsheetml/2006/main">
  <c r="B20" i="6" l="1"/>
  <c r="I68" i="1"/>
  <c r="G69" i="1"/>
  <c r="G72" i="1"/>
  <c r="H72" i="1"/>
  <c r="H68" i="1" s="1"/>
  <c r="F72" i="1"/>
  <c r="F68" i="1" s="1"/>
  <c r="E72" i="1" l="1"/>
  <c r="G68" i="1"/>
  <c r="A3" i="1"/>
  <c r="F9" i="5" l="1"/>
  <c r="F33" i="5"/>
  <c r="F25" i="5"/>
  <c r="F34" i="5"/>
  <c r="H9" i="5" l="1"/>
  <c r="H30" i="5"/>
  <c r="K8" i="6"/>
  <c r="K9" i="6" s="1"/>
  <c r="M8" i="6" l="1"/>
  <c r="M9" i="6" s="1"/>
  <c r="L8" i="6"/>
  <c r="L9" i="6" s="1"/>
  <c r="D14" i="6" l="1"/>
  <c r="E14" i="6"/>
  <c r="C14" i="6"/>
  <c r="C7" i="6" s="1"/>
  <c r="H33" i="5"/>
  <c r="G9" i="5"/>
  <c r="G34" i="5"/>
  <c r="H35" i="5"/>
  <c r="F32" i="5"/>
  <c r="G33" i="5"/>
  <c r="H23" i="5" l="1"/>
  <c r="F23" i="5"/>
  <c r="F36" i="5" l="1"/>
  <c r="G36" i="5"/>
  <c r="H36" i="5"/>
  <c r="F28" i="5"/>
  <c r="G16" i="1" l="1"/>
  <c r="G14" i="1"/>
  <c r="I13" i="1"/>
  <c r="G13" i="1"/>
  <c r="H15" i="1"/>
  <c r="G15" i="1"/>
  <c r="H13" i="1"/>
  <c r="D25" i="5" l="1"/>
  <c r="L77" i="1" l="1"/>
  <c r="L79" i="1"/>
  <c r="L80" i="1"/>
  <c r="H13" i="5" l="1"/>
  <c r="G13" i="5"/>
  <c r="E9" i="5"/>
  <c r="H8" i="5"/>
  <c r="J8" i="6" s="1"/>
  <c r="G8" i="5"/>
  <c r="I8" i="6" s="1"/>
  <c r="F8" i="5"/>
  <c r="H8" i="6" s="1"/>
  <c r="E8" i="5" l="1"/>
  <c r="H20" i="6"/>
  <c r="H13" i="6" l="1"/>
  <c r="J15" i="6"/>
  <c r="H15" i="6"/>
  <c r="H9" i="6"/>
  <c r="J10" i="6"/>
  <c r="J13" i="6"/>
  <c r="I13" i="6"/>
  <c r="G20" i="6" l="1"/>
  <c r="D32" i="5"/>
  <c r="D29" i="5"/>
  <c r="D23" i="5"/>
  <c r="D18" i="5"/>
  <c r="D14" i="5"/>
  <c r="G44" i="5"/>
  <c r="E12" i="5"/>
  <c r="F35" i="5"/>
  <c r="F13" i="5" s="1"/>
  <c r="E28" i="5"/>
  <c r="E10" i="5"/>
  <c r="E11" i="5"/>
  <c r="C7" i="5"/>
  <c r="K15" i="5" l="1"/>
  <c r="K16" i="5" s="1"/>
  <c r="E34" i="5"/>
  <c r="D13" i="5"/>
  <c r="D7" i="5" s="1"/>
  <c r="G64" i="1"/>
  <c r="C51" i="1"/>
  <c r="E56" i="1"/>
  <c r="F50" i="1"/>
  <c r="E48" i="1"/>
  <c r="E29" i="1"/>
  <c r="D80" i="1"/>
  <c r="D79" i="1"/>
  <c r="D68" i="1"/>
  <c r="C78" i="1"/>
  <c r="D78" i="1" s="1"/>
  <c r="C68" i="1"/>
  <c r="C34" i="1"/>
  <c r="D48" i="5" l="1"/>
  <c r="G50" i="1" l="1"/>
  <c r="B8" i="6" l="1"/>
  <c r="B9" i="6"/>
  <c r="G78" i="1" l="1"/>
  <c r="L78" i="1" s="1"/>
  <c r="G76" i="1" l="1"/>
  <c r="B14" i="6" l="1"/>
  <c r="C48" i="5"/>
  <c r="E7" i="6" l="1"/>
  <c r="E6" i="6" s="1"/>
  <c r="D7" i="6"/>
  <c r="F44" i="5"/>
  <c r="D6" i="6" l="1"/>
  <c r="B7" i="6"/>
  <c r="C6" i="6"/>
  <c r="B18" i="6"/>
  <c r="B17" i="6"/>
  <c r="G15" i="6"/>
  <c r="B16" i="6"/>
  <c r="G14" i="6"/>
  <c r="G13" i="6"/>
  <c r="B13" i="6"/>
  <c r="G11" i="6"/>
  <c r="B12" i="6"/>
  <c r="B11" i="6"/>
  <c r="G9" i="6"/>
  <c r="B10" i="6"/>
  <c r="G8" i="6"/>
  <c r="J7" i="6"/>
  <c r="J6" i="6" s="1"/>
  <c r="E19" i="6" s="1"/>
  <c r="H50" i="1"/>
  <c r="I50" i="1"/>
  <c r="B6" i="6" l="1"/>
  <c r="F42" i="5" l="1"/>
  <c r="H12" i="6" s="1"/>
  <c r="G42" i="5"/>
  <c r="I12" i="6" s="1"/>
  <c r="E46" i="5"/>
  <c r="E47" i="5"/>
  <c r="J47" i="5" s="1"/>
  <c r="G12" i="6" l="1"/>
  <c r="E44" i="5"/>
  <c r="E45" i="5"/>
  <c r="E43" i="5"/>
  <c r="E41" i="5"/>
  <c r="E40" i="5"/>
  <c r="E42" i="5" l="1"/>
  <c r="E18" i="5"/>
  <c r="J18" i="5" s="1"/>
  <c r="E23" i="5"/>
  <c r="J23" i="5" s="1"/>
  <c r="E25" i="5"/>
  <c r="J25" i="5" s="1"/>
  <c r="J28" i="5"/>
  <c r="E29" i="5"/>
  <c r="J29" i="5" s="1"/>
  <c r="E30" i="5"/>
  <c r="J30" i="5" s="1"/>
  <c r="E31" i="5"/>
  <c r="J31" i="5" s="1"/>
  <c r="E32" i="5"/>
  <c r="J32" i="5" s="1"/>
  <c r="E33" i="5"/>
  <c r="J33" i="5" s="1"/>
  <c r="J34" i="5"/>
  <c r="E35" i="5"/>
  <c r="J35" i="5" s="1"/>
  <c r="E36" i="5"/>
  <c r="J36" i="5" s="1"/>
  <c r="E14" i="5"/>
  <c r="J14" i="5" s="1"/>
  <c r="I78" i="1"/>
  <c r="E59" i="1"/>
  <c r="F51" i="1"/>
  <c r="H7" i="5" l="1"/>
  <c r="E13" i="5" l="1"/>
  <c r="I13" i="5" s="1"/>
  <c r="E39" i="5"/>
  <c r="F7" i="5" l="1"/>
  <c r="H10" i="6"/>
  <c r="G7" i="5"/>
  <c r="G48" i="5" s="1"/>
  <c r="I10" i="6"/>
  <c r="I7" i="6" s="1"/>
  <c r="I6" i="6" s="1"/>
  <c r="D19" i="6" s="1"/>
  <c r="H48" i="5"/>
  <c r="J37" i="5"/>
  <c r="I37" i="5"/>
  <c r="J13" i="5"/>
  <c r="J8" i="5"/>
  <c r="I8" i="5"/>
  <c r="E7" i="5" l="1"/>
  <c r="H7" i="6"/>
  <c r="H6" i="6" s="1"/>
  <c r="C19" i="6" s="1"/>
  <c r="G10" i="6"/>
  <c r="G7" i="6" s="1"/>
  <c r="G6" i="6" s="1"/>
  <c r="F48" i="5"/>
  <c r="G61" i="1"/>
  <c r="H61" i="1"/>
  <c r="I61" i="1"/>
  <c r="F61" i="1"/>
  <c r="H64" i="1"/>
  <c r="I64" i="1"/>
  <c r="F64" i="1"/>
  <c r="D76" i="1"/>
  <c r="D75" i="1" s="1"/>
  <c r="C76" i="1"/>
  <c r="D11" i="1"/>
  <c r="D10" i="1" s="1"/>
  <c r="E83" i="1"/>
  <c r="E77" i="1"/>
  <c r="E82" i="1"/>
  <c r="F75" i="1"/>
  <c r="G75" i="1"/>
  <c r="E57" i="1"/>
  <c r="E58" i="1"/>
  <c r="E60" i="1"/>
  <c r="E62" i="1"/>
  <c r="E63" i="1"/>
  <c r="E65" i="1"/>
  <c r="E66" i="1"/>
  <c r="E67" i="1"/>
  <c r="E68" i="1"/>
  <c r="E69" i="1"/>
  <c r="E70" i="1"/>
  <c r="E71" i="1"/>
  <c r="E73" i="1"/>
  <c r="E74" i="1"/>
  <c r="E80" i="1"/>
  <c r="E81" i="1"/>
  <c r="I76" i="1"/>
  <c r="I75" i="1" s="1"/>
  <c r="E49" i="1"/>
  <c r="E13" i="1"/>
  <c r="E14" i="1"/>
  <c r="E15" i="1"/>
  <c r="E16" i="1"/>
  <c r="E20" i="1"/>
  <c r="E21" i="1"/>
  <c r="E22" i="1"/>
  <c r="E23" i="1"/>
  <c r="J23" i="1" s="1"/>
  <c r="E25" i="1"/>
  <c r="E26" i="1"/>
  <c r="J26" i="1" s="1"/>
  <c r="E27" i="1"/>
  <c r="E28" i="1"/>
  <c r="J28" i="1" s="1"/>
  <c r="E30" i="1"/>
  <c r="J30" i="1" s="1"/>
  <c r="E31" i="1"/>
  <c r="E32" i="1"/>
  <c r="J32" i="1" s="1"/>
  <c r="E38" i="1"/>
  <c r="E39" i="1"/>
  <c r="E40" i="1"/>
  <c r="E41" i="1"/>
  <c r="E42" i="1"/>
  <c r="E43" i="1"/>
  <c r="E46" i="1"/>
  <c r="E47" i="1"/>
  <c r="E52" i="1"/>
  <c r="E53" i="1"/>
  <c r="E54" i="1"/>
  <c r="E55" i="1"/>
  <c r="D9" i="1" l="1"/>
  <c r="C75" i="1"/>
  <c r="L76" i="1"/>
  <c r="B19" i="6"/>
  <c r="E48" i="5"/>
  <c r="E50" i="1"/>
  <c r="I7" i="5"/>
  <c r="J7" i="5"/>
  <c r="J38" i="1"/>
  <c r="E64" i="1"/>
  <c r="E61" i="1"/>
  <c r="E51" i="1"/>
  <c r="K32" i="1"/>
  <c r="J22" i="1"/>
  <c r="K38" i="1"/>
  <c r="J27" i="1"/>
  <c r="K30" i="1"/>
  <c r="J20" i="1"/>
  <c r="K43" i="1"/>
  <c r="J43" i="1"/>
  <c r="K39" i="1"/>
  <c r="J39" i="1"/>
  <c r="K47" i="1"/>
  <c r="J47" i="1"/>
  <c r="K31" i="1"/>
  <c r="J31" i="1"/>
  <c r="J25" i="1"/>
  <c r="I48" i="5" l="1"/>
  <c r="J48" i="5"/>
  <c r="K51" i="1"/>
  <c r="J51" i="1"/>
  <c r="J50" i="1"/>
  <c r="K50" i="1"/>
  <c r="H34" i="1"/>
  <c r="F34" i="1"/>
  <c r="I24" i="1"/>
  <c r="H24" i="1"/>
  <c r="G24" i="1"/>
  <c r="F24" i="1"/>
  <c r="C24" i="1"/>
  <c r="I19" i="1"/>
  <c r="H19" i="1"/>
  <c r="G19" i="1"/>
  <c r="F19" i="1"/>
  <c r="C19" i="1"/>
  <c r="H12" i="1"/>
  <c r="J16" i="1"/>
  <c r="J15" i="1"/>
  <c r="J14" i="1"/>
  <c r="J13" i="1"/>
  <c r="I12" i="1"/>
  <c r="F12" i="1"/>
  <c r="H11" i="1" l="1"/>
  <c r="F11" i="1"/>
  <c r="F10" i="1" s="1"/>
  <c r="E19" i="1"/>
  <c r="J19" i="1" s="1"/>
  <c r="E36" i="1"/>
  <c r="J36" i="1" s="1"/>
  <c r="E37" i="1"/>
  <c r="E24" i="1"/>
  <c r="J24" i="1" s="1"/>
  <c r="E44" i="1"/>
  <c r="J44" i="1" s="1"/>
  <c r="E45" i="1"/>
  <c r="G34" i="1"/>
  <c r="E35" i="1"/>
  <c r="G12" i="1"/>
  <c r="E17" i="1"/>
  <c r="E18" i="1"/>
  <c r="C12" i="1"/>
  <c r="C11" i="1" s="1"/>
  <c r="C10" i="1" s="1"/>
  <c r="C9" i="1" s="1"/>
  <c r="I34" i="1"/>
  <c r="I11" i="1" s="1"/>
  <c r="I10" i="1" l="1"/>
  <c r="I9" i="1" s="1"/>
  <c r="H10" i="1"/>
  <c r="F9" i="1"/>
  <c r="E12" i="1"/>
  <c r="K12" i="1" s="1"/>
  <c r="G11" i="1"/>
  <c r="K19" i="1"/>
  <c r="K24" i="1"/>
  <c r="E34" i="1"/>
  <c r="K45" i="1"/>
  <c r="J45" i="1"/>
  <c r="K44" i="1"/>
  <c r="E33" i="1"/>
  <c r="J35" i="1"/>
  <c r="G10" i="1" l="1"/>
  <c r="E10" i="1" s="1"/>
  <c r="J12" i="1"/>
  <c r="E11" i="1"/>
  <c r="K34" i="1"/>
  <c r="J34" i="1"/>
  <c r="K33" i="1"/>
  <c r="J33" i="1"/>
  <c r="G9" i="1" l="1"/>
  <c r="J11" i="1" l="1"/>
  <c r="K11" i="1"/>
  <c r="K10" i="1" l="1"/>
  <c r="J10" i="1"/>
  <c r="E79" i="1" l="1"/>
  <c r="H78" i="1"/>
  <c r="H76" i="1" s="1"/>
  <c r="E76" i="1" s="1"/>
  <c r="M76" i="1" s="1"/>
  <c r="H75" i="1" l="1"/>
  <c r="E75" i="1" s="1"/>
  <c r="E78" i="1"/>
  <c r="H9" i="1" l="1"/>
  <c r="E9" i="1" s="1"/>
  <c r="J9" i="1" l="1"/>
  <c r="K9" i="1"/>
</calcChain>
</file>

<file path=xl/comments1.xml><?xml version="1.0" encoding="utf-8"?>
<comments xmlns="http://schemas.openxmlformats.org/spreadsheetml/2006/main">
  <authors>
    <author>thanhsen</author>
  </authors>
  <commentList>
    <comment ref="E9" authorId="0" shapeId="0">
      <text>
        <r>
          <rPr>
            <b/>
            <sz val="9"/>
            <color indexed="81"/>
            <rFont val="Tahoma"/>
            <family val="2"/>
          </rPr>
          <t>thanhsen: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<sst xmlns="http://schemas.openxmlformats.org/spreadsheetml/2006/main" count="245" uniqueCount="203">
  <si>
    <t>Đơn vị: Triệu đồng</t>
  </si>
  <si>
    <t>STT</t>
  </si>
  <si>
    <t>NỘI DUNG CÁC KHOẢN THU</t>
  </si>
  <si>
    <t>So sánh (QT/DT)</t>
  </si>
  <si>
    <t>TW giao</t>
  </si>
  <si>
    <t>HĐND tỉnh giao</t>
  </si>
  <si>
    <t>NSTW</t>
  </si>
  <si>
    <t>NS cấp tỉnh</t>
  </si>
  <si>
    <t>NS cấp huyện</t>
  </si>
  <si>
    <t>NS cấp xã</t>
  </si>
  <si>
    <t xml:space="preserve">BTC </t>
  </si>
  <si>
    <t>A</t>
  </si>
  <si>
    <t>B</t>
  </si>
  <si>
    <t>3=4+5</t>
  </si>
  <si>
    <t>9=3/1</t>
  </si>
  <si>
    <t>10=3/2</t>
  </si>
  <si>
    <t>I</t>
  </si>
  <si>
    <t>Thu nội địa</t>
  </si>
  <si>
    <t>Thu từ kinh tế quốc doanh</t>
  </si>
  <si>
    <t>1.1</t>
  </si>
  <si>
    <t xml:space="preserve">Thuế giá trị gia tăng </t>
  </si>
  <si>
    <t>1.2</t>
  </si>
  <si>
    <t>Thuế tiêu thụ đặc biệt hàng sản xuất trong nước</t>
  </si>
  <si>
    <t>1.3</t>
  </si>
  <si>
    <r>
      <t>Thuế thu nhập doanh nghiệp</t>
    </r>
    <r>
      <rPr>
        <vertAlign val="superscript"/>
        <sz val="11"/>
        <rFont val="Times New Roman"/>
        <family val="1"/>
      </rPr>
      <t xml:space="preserve"> </t>
    </r>
  </si>
  <si>
    <t>1.4</t>
  </si>
  <si>
    <t>Thuế tài nguyên</t>
  </si>
  <si>
    <t>1.5</t>
  </si>
  <si>
    <t>Thuế môn bài</t>
  </si>
  <si>
    <t>1.6</t>
  </si>
  <si>
    <t>Thu hồi vốn và thu khác</t>
  </si>
  <si>
    <t xml:space="preserve">Thu từ doanh nghiệp đầu tư nước ngoài </t>
  </si>
  <si>
    <t>2.1</t>
  </si>
  <si>
    <t>2.2</t>
  </si>
  <si>
    <t>2.3</t>
  </si>
  <si>
    <t>Thuế thu nhập doanh nghiệp</t>
  </si>
  <si>
    <t>Thu khác</t>
  </si>
  <si>
    <t>Thu từ khu vực CTN  và dịch vụ ngoài QD</t>
  </si>
  <si>
    <t>3.1</t>
  </si>
  <si>
    <t>3.2</t>
  </si>
  <si>
    <t>3.3</t>
  </si>
  <si>
    <t>3.4</t>
  </si>
  <si>
    <t>Thuế sử dụng đất nông nghiệp</t>
  </si>
  <si>
    <t>Lệ phí trước bạ</t>
  </si>
  <si>
    <t>Thuế thu nhập cá nhân</t>
  </si>
  <si>
    <t>Thu phí, lệ phí</t>
  </si>
  <si>
    <t>Thu phí, lệ phí Trung ương</t>
  </si>
  <si>
    <t>Thu phí, lệ phí tỉnh, huyện</t>
  </si>
  <si>
    <t>Thu phí, lệ phí xã, phường, thị trấn</t>
  </si>
  <si>
    <t>Thuế sử dụng đất phi nông nghiệp</t>
  </si>
  <si>
    <t>Thu tiền thuê mặt đất, mặt nước</t>
  </si>
  <si>
    <t xml:space="preserve">Thu tiền sử dụng đất </t>
  </si>
  <si>
    <t xml:space="preserve"> Thu cấp quyền khai thác khoáng sản</t>
  </si>
  <si>
    <t>Thuế bảo vệ môi trường</t>
  </si>
  <si>
    <t>Thu xổ số kiến thiết</t>
  </si>
  <si>
    <t>Thu khác ngân sách</t>
  </si>
  <si>
    <t>II</t>
  </si>
  <si>
    <t>Thu Hải quan</t>
  </si>
  <si>
    <t>Thuế giá trị gia tăng hàng nhập khẩu</t>
  </si>
  <si>
    <t>Thuế BVMT do Hải quan thực hiện</t>
  </si>
  <si>
    <t>III</t>
  </si>
  <si>
    <t>IV</t>
  </si>
  <si>
    <t>V</t>
  </si>
  <si>
    <t>C</t>
  </si>
  <si>
    <t>D</t>
  </si>
  <si>
    <t>Bổ sung cân đối</t>
  </si>
  <si>
    <t>E</t>
  </si>
  <si>
    <t>Quyết toán năm</t>
  </si>
  <si>
    <t xml:space="preserve">Phân chia ra từng cấp ngân sách </t>
  </si>
  <si>
    <t>9.1</t>
  </si>
  <si>
    <t>9.2</t>
  </si>
  <si>
    <t>9.3</t>
  </si>
  <si>
    <t>Thu tiền sử dụng khu vực biển</t>
  </si>
  <si>
    <t>Thu từ bán tài sản nhà nước</t>
  </si>
  <si>
    <t>Thu từ tài sản được xác lập quyền sở hữu nhà nước</t>
  </si>
  <si>
    <t>Thu từ quỹ đất công ích và thu hoa lợi công sản khác</t>
  </si>
  <si>
    <t>Thu cổ tức và lợi nhuận sau thuế</t>
  </si>
  <si>
    <t>Thu về dầu thô</t>
  </si>
  <si>
    <t>Thuế xuất khẩu</t>
  </si>
  <si>
    <t>Thuế nhập khẩu</t>
  </si>
  <si>
    <t>Thuế tiêu thụ đặc biệt hàng nhập khẩu</t>
  </si>
  <si>
    <t>Thu Viện trợ</t>
  </si>
  <si>
    <t>Các khoản huy động đóng góp xây dựng cơ sở hạ tầng</t>
  </si>
  <si>
    <t>Các khoản huy động đóng góp khác</t>
  </si>
  <si>
    <t>VI</t>
  </si>
  <si>
    <t>Thu hồi vốn của Nhà nước và thu từ quỹ dự trữ tài chính</t>
  </si>
  <si>
    <t>Thu từ bán cổ phần, vốn góp của Nhà nước nộp ngân sách</t>
  </si>
  <si>
    <t>Thu từ các khoản cho vay của ngân sách</t>
  </si>
  <si>
    <t>Thu từ quỹ dự trữ tài chính</t>
  </si>
  <si>
    <t>Vay bù đặp bội chi NSĐP</t>
  </si>
  <si>
    <t>Vay trong nước</t>
  </si>
  <si>
    <t>Vay lại từ nguồn Chính phủ vay ngoài nước</t>
  </si>
  <si>
    <t>Vay để trả nợ gốc vay</t>
  </si>
  <si>
    <t>THU CHUYỂN GIAO NGÂN SÁCH</t>
  </si>
  <si>
    <t>VAY CỦA NGÂN SÁCH ĐỊA PHƯƠNG</t>
  </si>
  <si>
    <t>Thu bổ sung từ ngân sách cấp trên</t>
  </si>
  <si>
    <t>Bổ sung có mục tiêu</t>
  </si>
  <si>
    <t>Bổ sung có mục tiêu bằng nguồn vốn trong nước</t>
  </si>
  <si>
    <t>Bổ sung có mục tiêu bằng nguồn vốn ngoài nước</t>
  </si>
  <si>
    <t>Thu từ ngân sách cấp dưới nộp lên</t>
  </si>
  <si>
    <t>THU CHUYỂN NGUỒN</t>
  </si>
  <si>
    <t>THU KẾT DƯ NGÂN SÁCH</t>
  </si>
  <si>
    <t>VII</t>
  </si>
  <si>
    <t>Chi ngân sách cấp huyện</t>
  </si>
  <si>
    <t>Chi ngân sách cấp xã</t>
  </si>
  <si>
    <t>Phần thu</t>
  </si>
  <si>
    <t>Tổng số</t>
  </si>
  <si>
    <t>Thu ngân sách cấp tỉnh</t>
  </si>
  <si>
    <t>Thu ngân sách cấp huyện</t>
  </si>
  <si>
    <t>Thu ngân sách cấp xã</t>
  </si>
  <si>
    <t>Phần chi</t>
  </si>
  <si>
    <t>Chi ngân sách cấp tỉnh</t>
  </si>
  <si>
    <t>Tổng số chi</t>
  </si>
  <si>
    <t>Trong đó:</t>
  </si>
  <si>
    <t>- Thu bổ sung cân đối</t>
  </si>
  <si>
    <t>-Thu bổ sung có mục tiêu</t>
  </si>
  <si>
    <t>Kết dư ngân sách năm quyết toán</t>
  </si>
  <si>
    <t>NỘI DUNG CHI</t>
  </si>
  <si>
    <t xml:space="preserve"> TW giao</t>
  </si>
  <si>
    <t xml:space="preserve"> HĐND
 tỉnh giao </t>
  </si>
  <si>
    <t>Tổng số chi NSĐP</t>
  </si>
  <si>
    <t>Chi NS cấp tỉnh</t>
  </si>
  <si>
    <t>Dự toán TW</t>
  </si>
  <si>
    <t xml:space="preserve">DT
HĐND </t>
  </si>
  <si>
    <t xml:space="preserve">CHI CÂN ĐỐI NGÂN SÁCH </t>
  </si>
  <si>
    <t>Chi đầu tư phát triển</t>
  </si>
  <si>
    <t>Chi đầu tư phát triển cho chương trình, dự án theo lĩnh vực</t>
  </si>
  <si>
    <t>Chi quốc phòng</t>
  </si>
  <si>
    <t>Chi an ninh và trật tự an toàn xã hội</t>
  </si>
  <si>
    <t>Chi giáo dục, đào tạo và dạy nghề</t>
  </si>
  <si>
    <t>Chi y tế, dân số và gia đình</t>
  </si>
  <si>
    <t>Chi văn hoá thông tin</t>
  </si>
  <si>
    <t>Chi phát thanh, truyền hình, thông tấn</t>
  </si>
  <si>
    <t>Chi thế dục, thể thao</t>
  </si>
  <si>
    <t>Chi bảo vệ môi trường</t>
  </si>
  <si>
    <t>Chi các hoạt động kinh tế</t>
  </si>
  <si>
    <t>Chi quản lý Nhà nước, Đảng, đoàn thể</t>
  </si>
  <si>
    <t xml:space="preserve">Chi đảm bảo xã hội </t>
  </si>
  <si>
    <t>Chi ngành, lĩnh vực khác</t>
  </si>
  <si>
    <t>Chi đầu tư và hỗ trợ vốn cho cá doanh nghiệp hoạt động công</t>
  </si>
  <si>
    <t>Chi đầu tư phát triển khác</t>
  </si>
  <si>
    <t>Chi trả lãi vay theo quy định</t>
  </si>
  <si>
    <t>Chi thường xuyên</t>
  </si>
  <si>
    <t>Chi bổ sung quỹ dữ trữ tài chính</t>
  </si>
  <si>
    <t>Dự phòng ngân sách</t>
  </si>
  <si>
    <t>Chi chuyển nguồn</t>
  </si>
  <si>
    <t>Chi viện trợ</t>
  </si>
  <si>
    <t>CHI NỘP NGÂN SÁCH CẤP TRÊN</t>
  </si>
  <si>
    <t>CHI BỔ SUNG CHO NGÂN SÁCH CẤP DƯỚI</t>
  </si>
  <si>
    <t>Trong đó: bằng nguồn vốn trong nước</t>
  </si>
  <si>
    <t xml:space="preserve">                Bằng nguồn vốn ngoài nước</t>
  </si>
  <si>
    <t>CHI TRẢ NỢ GỐC</t>
  </si>
  <si>
    <t>TỔNG CỘNG (A+B+C+D)</t>
  </si>
  <si>
    <t>Hoàn thuế GTGT</t>
  </si>
  <si>
    <t>Các khoản huy động, đóng góp và các khoản thu khác</t>
  </si>
  <si>
    <t>Chi  khoa học, công nghệ, thông tin</t>
  </si>
  <si>
    <t>TỔNG SỐ</t>
  </si>
  <si>
    <t>THU NGÂN SÁCH NHÀ NƯỚC TRÊN ĐỊA BÀN</t>
  </si>
  <si>
    <t>Biểu 03/QTNS</t>
  </si>
  <si>
    <t>Biểu 02/QTNS</t>
  </si>
  <si>
    <t>Biểu 01/QTNS</t>
  </si>
  <si>
    <t>Tổng số thu:</t>
  </si>
  <si>
    <t>A. Tổng số thu cân đối ngân sách</t>
  </si>
  <si>
    <t>B. Vay của ngân sách cấp tỉnh</t>
  </si>
  <si>
    <t>1. Các khoản thu ngân sách địa phương hưởng 100%</t>
  </si>
  <si>
    <t>2. Các khoản thu phân chia theo tỷ lệ %</t>
  </si>
  <si>
    <t>3. Thu từ quỹ dự trữ tài chính</t>
  </si>
  <si>
    <t>4. Thu kết dư năm trước</t>
  </si>
  <si>
    <t>5. Thu chuyển nguồn năm trước sang</t>
  </si>
  <si>
    <t>6. Thu viện trợ</t>
  </si>
  <si>
    <t>7. Thu bổ sung từ ngân sách cấp trên</t>
  </si>
  <si>
    <t>8. Thu từ ngân sách cấp dưới nộp lên</t>
  </si>
  <si>
    <t>B. Chi trả nợ gốc</t>
  </si>
  <si>
    <t>8. Chi nộp ngân sách cấp trên</t>
  </si>
  <si>
    <t>7. Chi Viện trợ</t>
  </si>
  <si>
    <t>6. Chi chuyển nguồn năm sau</t>
  </si>
  <si>
    <t>5. Chi bổ sung cho ngân sách cấp dưới</t>
  </si>
  <si>
    <t>4. Chi bổ sung quỹ dự trữ tài chính</t>
  </si>
  <si>
    <t>3. Chi thường xuyên</t>
  </si>
  <si>
    <t>2. Chi trả nợ lãi, phí tiền vay</t>
  </si>
  <si>
    <t>1. Chi đầu tư phát triển</t>
  </si>
  <si>
    <t>A. Tổng số chi cân đối ngân sách</t>
  </si>
  <si>
    <t>QUYẾT TOÁN THU NGÂN SÁCH NHÀ NƯỚC NĂM 2018</t>
  </si>
  <si>
    <t>Dự toán năm 2018</t>
  </si>
  <si>
    <t>Thu hồi vốn, lợi nhuận, chênh lệch thu chi của NHNN</t>
  </si>
  <si>
    <t>III.a</t>
  </si>
  <si>
    <t>Thu Hải quan sau khi trừ hoàn thuế GTGT</t>
  </si>
  <si>
    <t>Thuế bổ sung đối với hàng hóa nhập khẩu</t>
  </si>
  <si>
    <t>Thực hiện Luật DQTV</t>
  </si>
  <si>
    <t>KP chuẩn bị động viên</t>
  </si>
  <si>
    <t>PL Công an xã</t>
  </si>
  <si>
    <t>Sự nghiệp môi trường Cảnh sát môi trường</t>
  </si>
  <si>
    <t>Đào tạo CA xã</t>
  </si>
  <si>
    <t>Trừ đào tạo CA xã 2 tỷ</t>
  </si>
  <si>
    <t>Công nghệ thông tin</t>
  </si>
  <si>
    <t>Khoa học công nghệ</t>
  </si>
  <si>
    <t>CÂN ĐỐI QUYẾT TOÁN NGÂN SÁCH ĐỊA PHƯƠNG 2018</t>
  </si>
  <si>
    <t>Quyết toán năm 2018</t>
  </si>
  <si>
    <t>QUYẾT TOÁN CHI NGÂN SÁCH ĐỊA PHƯƠNG NĂM 2018</t>
  </si>
  <si>
    <t>So sánh % thực hiện
năm 2018 với</t>
  </si>
  <si>
    <t>(Ban hành kèm theo Báo cáo số      /BC-UBND ngày     /11/2019 của UBND tỉnh)</t>
  </si>
  <si>
    <t>ỦY BAN NHÂN DÂN TỈNH</t>
  </si>
  <si>
    <t>(Ban hành kèm theo Báo cáo số 425/BC-UBND ngày  09/11/2019 của UBND tỉnh)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</si>
</sst>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₫_-;\-* #,##0.00\ _₫_-;_-* &quot;-&quot;??\ _₫_-;_-@_-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i/>
      <sz val="1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  <charset val="163"/>
    </font>
    <font>
      <i/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</cellStyleXfs>
  <cellXfs count="12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3" fontId="2" fillId="2" borderId="0" xfId="0" applyNumberFormat="1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right" vertical="center" wrapText="1"/>
    </xf>
    <xf numFmtId="3" fontId="8" fillId="2" borderId="2" xfId="0" applyNumberFormat="1" applyFont="1" applyFill="1" applyBorder="1" applyAlignment="1">
      <alignment horizontal="right" vertical="center" wrapText="1"/>
    </xf>
    <xf numFmtId="9" fontId="8" fillId="2" borderId="2" xfId="1" applyFont="1" applyFill="1" applyBorder="1" applyAlignment="1">
      <alignment horizontal="right" vertical="center" wrapText="1"/>
    </xf>
    <xf numFmtId="9" fontId="9" fillId="2" borderId="2" xfId="1" applyFont="1" applyFill="1" applyBorder="1" applyAlignment="1">
      <alignment horizontal="right" vertical="center" wrapText="1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center"/>
    </xf>
    <xf numFmtId="165" fontId="9" fillId="2" borderId="0" xfId="0" applyNumberFormat="1" applyFont="1" applyFill="1"/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0" fontId="9" fillId="2" borderId="2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165" fontId="8" fillId="2" borderId="2" xfId="0" applyNumberFormat="1" applyFont="1" applyFill="1" applyBorder="1" applyAlignment="1">
      <alignment vertical="center" wrapText="1"/>
    </xf>
    <xf numFmtId="3" fontId="8" fillId="2" borderId="2" xfId="0" applyNumberFormat="1" applyFont="1" applyFill="1" applyBorder="1" applyAlignment="1">
      <alignment vertical="center" wrapText="1"/>
    </xf>
    <xf numFmtId="3" fontId="9" fillId="2" borderId="2" xfId="0" applyNumberFormat="1" applyFont="1" applyFill="1" applyBorder="1" applyAlignment="1">
      <alignment vertical="center" wrapText="1"/>
    </xf>
    <xf numFmtId="165" fontId="9" fillId="2" borderId="2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3" fontId="13" fillId="2" borderId="0" xfId="0" applyNumberFormat="1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3" fontId="9" fillId="2" borderId="0" xfId="0" applyNumberFormat="1" applyFont="1" applyFill="1"/>
    <xf numFmtId="3" fontId="8" fillId="2" borderId="0" xfId="0" applyNumberFormat="1" applyFont="1" applyFill="1" applyAlignment="1">
      <alignment vertical="center" wrapText="1"/>
    </xf>
    <xf numFmtId="9" fontId="13" fillId="2" borderId="0" xfId="0" applyNumberFormat="1" applyFont="1" applyFill="1" applyAlignment="1">
      <alignment vertical="center" wrapText="1"/>
    </xf>
    <xf numFmtId="10" fontId="8" fillId="2" borderId="0" xfId="0" applyNumberFormat="1" applyFont="1" applyFill="1" applyAlignment="1">
      <alignment vertical="center" wrapText="1"/>
    </xf>
    <xf numFmtId="3" fontId="9" fillId="2" borderId="0" xfId="0" applyNumberFormat="1" applyFont="1" applyFill="1" applyAlignment="1">
      <alignment vertical="center" wrapText="1"/>
    </xf>
    <xf numFmtId="3" fontId="9" fillId="2" borderId="2" xfId="0" applyNumberFormat="1" applyFont="1" applyFill="1" applyBorder="1" applyAlignment="1">
      <alignment horizontal="righ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 applyAlignment="1">
      <alignment wrapText="1"/>
    </xf>
    <xf numFmtId="3" fontId="3" fillId="2" borderId="0" xfId="0" applyNumberFormat="1" applyFont="1" applyFill="1" applyAlignment="1">
      <alignment wrapText="1"/>
    </xf>
    <xf numFmtId="0" fontId="18" fillId="2" borderId="2" xfId="0" applyFont="1" applyFill="1" applyBorder="1" applyAlignment="1">
      <alignment vertical="center" wrapText="1"/>
    </xf>
    <xf numFmtId="0" fontId="15" fillId="2" borderId="0" xfId="0" applyFont="1" applyFill="1" applyAlignment="1">
      <alignment vertical="center" wrapText="1"/>
    </xf>
    <xf numFmtId="3" fontId="15" fillId="2" borderId="0" xfId="0" applyNumberFormat="1" applyFont="1" applyFill="1" applyAlignment="1">
      <alignment vertical="center" wrapText="1"/>
    </xf>
    <xf numFmtId="0" fontId="2" fillId="2" borderId="2" xfId="0" quotePrefix="1" applyFont="1" applyFill="1" applyBorder="1" applyAlignment="1">
      <alignment vertical="center" wrapText="1"/>
    </xf>
    <xf numFmtId="3" fontId="15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20" fillId="2" borderId="2" xfId="0" quotePrefix="1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9" fillId="2" borderId="0" xfId="0" applyFont="1" applyFill="1" applyAlignment="1">
      <alignment horizontal="center" wrapText="1"/>
    </xf>
    <xf numFmtId="0" fontId="11" fillId="2" borderId="0" xfId="0" applyFont="1" applyFill="1" applyAlignment="1">
      <alignment vertical="center" wrapText="1"/>
    </xf>
    <xf numFmtId="3" fontId="9" fillId="0" borderId="2" xfId="0" applyNumberFormat="1" applyFont="1" applyFill="1" applyBorder="1" applyAlignment="1">
      <alignment vertical="center" wrapText="1"/>
    </xf>
    <xf numFmtId="3" fontId="15" fillId="0" borderId="2" xfId="0" applyNumberFormat="1" applyFont="1" applyFill="1" applyBorder="1" applyAlignment="1">
      <alignment horizontal="right" vertical="center" wrapText="1"/>
    </xf>
    <xf numFmtId="3" fontId="9" fillId="2" borderId="2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3" fontId="8" fillId="0" borderId="2" xfId="0" applyNumberFormat="1" applyFont="1" applyFill="1" applyBorder="1" applyAlignment="1">
      <alignment vertical="center" wrapText="1"/>
    </xf>
    <xf numFmtId="165" fontId="8" fillId="0" borderId="2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165" fontId="9" fillId="0" borderId="2" xfId="0" applyNumberFormat="1" applyFont="1" applyFill="1" applyBorder="1" applyAlignment="1">
      <alignment vertical="center" wrapText="1"/>
    </xf>
    <xf numFmtId="3" fontId="8" fillId="0" borderId="2" xfId="2" applyNumberFormat="1" applyFont="1" applyFill="1" applyBorder="1" applyAlignment="1">
      <alignment vertical="center" wrapText="1"/>
    </xf>
    <xf numFmtId="3" fontId="8" fillId="0" borderId="2" xfId="0" applyNumberFormat="1" applyFont="1" applyFill="1" applyBorder="1" applyAlignment="1">
      <alignment horizontal="right" vertical="center" wrapText="1"/>
    </xf>
    <xf numFmtId="3" fontId="9" fillId="3" borderId="2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3" fontId="9" fillId="2" borderId="0" xfId="0" applyNumberFormat="1" applyFont="1" applyFill="1" applyAlignment="1">
      <alignment wrapText="1"/>
    </xf>
    <xf numFmtId="3" fontId="9" fillId="2" borderId="0" xfId="0" applyNumberFormat="1" applyFont="1" applyFill="1" applyAlignment="1">
      <alignment horizontal="center" vertical="center" wrapText="1"/>
    </xf>
    <xf numFmtId="3" fontId="8" fillId="0" borderId="0" xfId="0" applyNumberFormat="1" applyFont="1" applyFill="1" applyAlignment="1">
      <alignment vertical="center" wrapText="1"/>
    </xf>
    <xf numFmtId="3" fontId="11" fillId="2" borderId="0" xfId="0" applyNumberFormat="1" applyFont="1" applyFill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right"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165" fontId="13" fillId="2" borderId="0" xfId="0" applyNumberFormat="1" applyFont="1" applyFill="1" applyAlignment="1">
      <alignment vertical="center" wrapText="1"/>
    </xf>
    <xf numFmtId="9" fontId="12" fillId="2" borderId="0" xfId="0" applyNumberFormat="1" applyFont="1" applyFill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3" fontId="9" fillId="4" borderId="2" xfId="0" applyNumberFormat="1" applyFont="1" applyFill="1" applyBorder="1" applyAlignment="1">
      <alignment horizontal="right" vertical="center" wrapText="1"/>
    </xf>
    <xf numFmtId="9" fontId="9" fillId="4" borderId="2" xfId="1" applyFont="1" applyFill="1" applyBorder="1" applyAlignment="1">
      <alignment horizontal="right" vertical="center" wrapText="1"/>
    </xf>
    <xf numFmtId="0" fontId="13" fillId="4" borderId="0" xfId="0" applyFont="1" applyFill="1" applyAlignment="1">
      <alignment vertical="center" wrapText="1"/>
    </xf>
    <xf numFmtId="3" fontId="9" fillId="2" borderId="2" xfId="0" applyNumberFormat="1" applyFont="1" applyFill="1" applyBorder="1" applyAlignment="1">
      <alignment horizontal="right" vertical="center" wrapText="1"/>
    </xf>
    <xf numFmtId="9" fontId="8" fillId="2" borderId="2" xfId="0" applyNumberFormat="1" applyFont="1" applyFill="1" applyBorder="1" applyAlignment="1">
      <alignment vertical="center" wrapText="1"/>
    </xf>
    <xf numFmtId="9" fontId="9" fillId="2" borderId="2" xfId="0" applyNumberFormat="1" applyFont="1" applyFill="1" applyBorder="1" applyAlignment="1">
      <alignment vertical="center" wrapText="1"/>
    </xf>
    <xf numFmtId="9" fontId="9" fillId="0" borderId="2" xfId="0" applyNumberFormat="1" applyFont="1" applyFill="1" applyBorder="1" applyAlignment="1">
      <alignment vertical="center" wrapText="1"/>
    </xf>
    <xf numFmtId="9" fontId="8" fillId="0" borderId="2" xfId="0" applyNumberFormat="1" applyFont="1" applyFill="1" applyBorder="1" applyAlignment="1">
      <alignment vertical="center" wrapText="1"/>
    </xf>
    <xf numFmtId="3" fontId="9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5" fontId="9" fillId="0" borderId="0" xfId="0" applyNumberFormat="1" applyFont="1" applyFill="1" applyAlignment="1">
      <alignment vertical="center" wrapText="1"/>
    </xf>
    <xf numFmtId="3" fontId="9" fillId="2" borderId="2" xfId="0" applyNumberFormat="1" applyFont="1" applyFill="1" applyBorder="1" applyAlignment="1">
      <alignment horizontal="right" vertical="center" wrapText="1"/>
    </xf>
    <xf numFmtId="3" fontId="12" fillId="2" borderId="0" xfId="0" applyNumberFormat="1" applyFont="1" applyFill="1" applyAlignment="1">
      <alignment vertical="center" wrapText="1"/>
    </xf>
    <xf numFmtId="3" fontId="2" fillId="0" borderId="0" xfId="0" applyNumberFormat="1" applyFont="1" applyFill="1" applyAlignment="1">
      <alignment horizontal="right" vertical="center" wrapText="1"/>
    </xf>
    <xf numFmtId="3" fontId="6" fillId="0" borderId="0" xfId="0" applyNumberFormat="1" applyFont="1" applyFill="1" applyAlignment="1">
      <alignment horizontal="right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/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 wrapText="1"/>
    </xf>
    <xf numFmtId="3" fontId="9" fillId="2" borderId="2" xfId="0" applyNumberFormat="1" applyFont="1" applyFill="1" applyBorder="1" applyAlignment="1">
      <alignment horizontal="right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/>
    </xf>
    <xf numFmtId="165" fontId="8" fillId="2" borderId="2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</cellXfs>
  <cellStyles count="5">
    <cellStyle name="Comma 14" xfId="2"/>
    <cellStyle name="Normal" xfId="0" builtinId="0"/>
    <cellStyle name="Normal 129" xfId="4"/>
    <cellStyle name="Normal 13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G21" sqref="G21:J21"/>
    </sheetView>
  </sheetViews>
  <sheetFormatPr defaultColWidth="9.140625" defaultRowHeight="15" x14ac:dyDescent="0.25"/>
  <cols>
    <col min="1" max="1" width="28" style="11" customWidth="1"/>
    <col min="2" max="2" width="11.42578125" style="10" customWidth="1"/>
    <col min="3" max="3" width="11.140625" style="10" customWidth="1"/>
    <col min="4" max="5" width="10.140625" style="10" customWidth="1"/>
    <col min="6" max="6" width="27.42578125" style="11" customWidth="1"/>
    <col min="7" max="8" width="11" style="10" customWidth="1"/>
    <col min="9" max="9" width="9.85546875" style="10" customWidth="1"/>
    <col min="10" max="10" width="10.42578125" style="10" customWidth="1"/>
    <col min="11" max="11" width="10.7109375" style="10" customWidth="1"/>
    <col min="12" max="12" width="11" style="10" customWidth="1"/>
    <col min="13" max="16384" width="9.140625" style="10"/>
  </cols>
  <sheetData>
    <row r="1" spans="1:13" ht="16.5" customHeight="1" x14ac:dyDescent="0.25">
      <c r="I1" s="107" t="s">
        <v>160</v>
      </c>
      <c r="J1" s="107"/>
    </row>
    <row r="2" spans="1:13" ht="21.75" customHeight="1" x14ac:dyDescent="0.25">
      <c r="A2" s="104" t="s">
        <v>196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3" ht="16.899999999999999" customHeight="1" x14ac:dyDescent="0.25">
      <c r="A3" s="105" t="s">
        <v>200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3" s="11" customFormat="1" ht="10.15" customHeight="1" x14ac:dyDescent="0.25">
      <c r="B4" s="10"/>
      <c r="C4" s="10"/>
      <c r="D4" s="10"/>
      <c r="E4" s="10"/>
      <c r="G4" s="10"/>
      <c r="H4" s="10"/>
      <c r="I4" s="106" t="s">
        <v>0</v>
      </c>
      <c r="J4" s="106"/>
    </row>
    <row r="5" spans="1:13" s="39" customFormat="1" ht="38.25" x14ac:dyDescent="0.2">
      <c r="A5" s="38" t="s">
        <v>105</v>
      </c>
      <c r="B5" s="38" t="s">
        <v>106</v>
      </c>
      <c r="C5" s="38" t="s">
        <v>107</v>
      </c>
      <c r="D5" s="38" t="s">
        <v>108</v>
      </c>
      <c r="E5" s="38" t="s">
        <v>109</v>
      </c>
      <c r="F5" s="38" t="s">
        <v>110</v>
      </c>
      <c r="G5" s="38" t="s">
        <v>106</v>
      </c>
      <c r="H5" s="38" t="s">
        <v>111</v>
      </c>
      <c r="I5" s="38" t="s">
        <v>103</v>
      </c>
      <c r="J5" s="38" t="s">
        <v>104</v>
      </c>
    </row>
    <row r="6" spans="1:13" s="24" customFormat="1" ht="23.1" customHeight="1" x14ac:dyDescent="0.25">
      <c r="A6" s="38" t="s">
        <v>161</v>
      </c>
      <c r="B6" s="7">
        <f>B7+B20</f>
        <v>28930115.106113002</v>
      </c>
      <c r="C6" s="7">
        <f t="shared" ref="C6:E6" si="0">C7+C20</f>
        <v>16636268.493099</v>
      </c>
      <c r="D6" s="7">
        <f t="shared" si="0"/>
        <v>8361378.4918429991</v>
      </c>
      <c r="E6" s="7">
        <f t="shared" si="0"/>
        <v>3932468.1211709999</v>
      </c>
      <c r="F6" s="38" t="s">
        <v>112</v>
      </c>
      <c r="G6" s="7">
        <f>G7+G20</f>
        <v>28700644.213594001</v>
      </c>
      <c r="H6" s="7">
        <f t="shared" ref="H6:J6" si="1">H7+H20</f>
        <v>16536524.994532002</v>
      </c>
      <c r="I6" s="7">
        <f t="shared" si="1"/>
        <v>8284988.0204349998</v>
      </c>
      <c r="J6" s="7">
        <f t="shared" si="1"/>
        <v>3879131.1986270002</v>
      </c>
      <c r="K6" s="33"/>
    </row>
    <row r="7" spans="1:13" s="43" customFormat="1" ht="23.1" customHeight="1" x14ac:dyDescent="0.25">
      <c r="A7" s="42" t="s">
        <v>162</v>
      </c>
      <c r="B7" s="7">
        <f>SUM(C7:E7)</f>
        <v>28903922.106113002</v>
      </c>
      <c r="C7" s="7">
        <f>SUM(C8:C14)+C18</f>
        <v>16610075.493099</v>
      </c>
      <c r="D7" s="7">
        <f>SUM(D8:D14)+D18</f>
        <v>8361378.4918429991</v>
      </c>
      <c r="E7" s="7">
        <f>SUM(E8:E14)+E18</f>
        <v>3932468.1211709999</v>
      </c>
      <c r="F7" s="42" t="s">
        <v>181</v>
      </c>
      <c r="G7" s="7">
        <f>SUM(G8:G16)</f>
        <v>28585886.146795001</v>
      </c>
      <c r="H7" s="7">
        <f>SUM(H8:H16)</f>
        <v>16421766.927733002</v>
      </c>
      <c r="I7" s="7">
        <f>SUM(I8:I16)</f>
        <v>8284988.0204349998</v>
      </c>
      <c r="J7" s="7">
        <f>SUM(J8:J16)</f>
        <v>3879131.1986270002</v>
      </c>
      <c r="L7" s="44"/>
    </row>
    <row r="8" spans="1:13" s="43" customFormat="1" ht="35.1" customHeight="1" x14ac:dyDescent="0.25">
      <c r="A8" s="45" t="s">
        <v>164</v>
      </c>
      <c r="B8" s="37">
        <f>SUM(C8:E8)</f>
        <v>1529082.8511418998</v>
      </c>
      <c r="C8" s="46">
        <v>1256262.4042933998</v>
      </c>
      <c r="D8" s="46">
        <v>141315.34828429998</v>
      </c>
      <c r="E8" s="46">
        <v>131505.09856419999</v>
      </c>
      <c r="F8" s="47" t="s">
        <v>180</v>
      </c>
      <c r="G8" s="37">
        <f>SUM(H8:J8)</f>
        <v>4359355.5934690004</v>
      </c>
      <c r="H8" s="37">
        <f>'Quyết toán chi'!F8</f>
        <v>2365923.8251920003</v>
      </c>
      <c r="I8" s="94">
        <f>'Quyết toán chi'!G8</f>
        <v>739856.64430000004</v>
      </c>
      <c r="J8" s="94">
        <f>'Quyết toán chi'!H8</f>
        <v>1253575.1239769999</v>
      </c>
      <c r="K8" s="43">
        <f>C8*0.35</f>
        <v>439691.84150268987</v>
      </c>
      <c r="L8" s="44">
        <f>D8*0.1</f>
        <v>14131.534828429998</v>
      </c>
      <c r="M8" s="44">
        <f>E8*0.1</f>
        <v>13150.50985642</v>
      </c>
    </row>
    <row r="9" spans="1:13" s="43" customFormat="1" ht="35.1" customHeight="1" x14ac:dyDescent="0.25">
      <c r="A9" s="48" t="s">
        <v>165</v>
      </c>
      <c r="B9" s="37">
        <f>SUM(C9:E9)</f>
        <v>4788442.7724670991</v>
      </c>
      <c r="C9" s="46">
        <v>2333058.7508305996</v>
      </c>
      <c r="D9" s="46">
        <v>1271838.1345586998</v>
      </c>
      <c r="E9" s="46">
        <v>1183545.8870778</v>
      </c>
      <c r="F9" s="47" t="s">
        <v>179</v>
      </c>
      <c r="G9" s="37">
        <f t="shared" ref="G9:G15" si="2">SUM(H9:J9)</f>
        <v>1062.2471539999999</v>
      </c>
      <c r="H9" s="46">
        <f>'Quyết toán chi'!F12</f>
        <v>1062.2471539999999</v>
      </c>
      <c r="I9" s="46"/>
      <c r="J9" s="46"/>
      <c r="K9" s="36">
        <f>C8-K8</f>
        <v>816570.5627907099</v>
      </c>
      <c r="L9" s="36">
        <f t="shared" ref="L9:M9" si="3">D8-L8</f>
        <v>127183.81345586998</v>
      </c>
      <c r="M9" s="36">
        <f t="shared" si="3"/>
        <v>118354.58870777999</v>
      </c>
    </row>
    <row r="10" spans="1:13" s="19" customFormat="1" ht="23.1" customHeight="1" x14ac:dyDescent="0.25">
      <c r="A10" s="47" t="s">
        <v>166</v>
      </c>
      <c r="B10" s="37">
        <f>SUM(C10:E10)</f>
        <v>0</v>
      </c>
      <c r="C10" s="37"/>
      <c r="D10" s="37"/>
      <c r="E10" s="37"/>
      <c r="F10" s="47" t="s">
        <v>178</v>
      </c>
      <c r="G10" s="37">
        <f t="shared" si="2"/>
        <v>9643916.402392</v>
      </c>
      <c r="H10" s="37">
        <f>'Quyết toán chi'!F13</f>
        <v>3265346.4421759997</v>
      </c>
      <c r="I10" s="37">
        <f>'Quyết toán chi'!G13</f>
        <v>4251125.1462340001</v>
      </c>
      <c r="J10" s="37">
        <f>'Quyết toán chi'!H13</f>
        <v>2127444.8139820001</v>
      </c>
    </row>
    <row r="11" spans="1:13" s="19" customFormat="1" ht="23.1" customHeight="1" x14ac:dyDescent="0.25">
      <c r="A11" s="47" t="s">
        <v>167</v>
      </c>
      <c r="B11" s="37">
        <f>SUM(C11:E11)</f>
        <v>51169.594717999993</v>
      </c>
      <c r="C11" s="86">
        <v>22806.861917999999</v>
      </c>
      <c r="D11" s="86">
        <v>9375.8268000000007</v>
      </c>
      <c r="E11" s="86">
        <v>18986.905999999999</v>
      </c>
      <c r="F11" s="47" t="s">
        <v>177</v>
      </c>
      <c r="G11" s="37">
        <f t="shared" si="2"/>
        <v>1340</v>
      </c>
      <c r="H11" s="37">
        <v>1340</v>
      </c>
      <c r="I11" s="37"/>
      <c r="J11" s="37"/>
    </row>
    <row r="12" spans="1:13" s="19" customFormat="1" ht="35.1" customHeight="1" x14ac:dyDescent="0.25">
      <c r="A12" s="47" t="s">
        <v>168</v>
      </c>
      <c r="B12" s="37">
        <f t="shared" ref="B12:B13" si="4">SUM(C12:E12)</f>
        <v>4803784.6764779994</v>
      </c>
      <c r="C12" s="86">
        <v>3887641.9276780002</v>
      </c>
      <c r="D12" s="86">
        <v>695591.64</v>
      </c>
      <c r="E12" s="86">
        <v>220551.10879999999</v>
      </c>
      <c r="F12" s="47" t="s">
        <v>176</v>
      </c>
      <c r="G12" s="37">
        <f t="shared" si="2"/>
        <v>8619063.3731050007</v>
      </c>
      <c r="H12" s="37">
        <f>'Quyết toán chi'!F42</f>
        <v>6241184.2522960007</v>
      </c>
      <c r="I12" s="37">
        <f>'Quyết toán chi'!G42</f>
        <v>2377879.120809</v>
      </c>
      <c r="J12" s="37">
        <v>0</v>
      </c>
      <c r="K12" s="36"/>
    </row>
    <row r="13" spans="1:13" s="19" customFormat="1" ht="23.1" customHeight="1" x14ac:dyDescent="0.25">
      <c r="A13" s="47" t="s">
        <v>169</v>
      </c>
      <c r="B13" s="37">
        <f t="shared" si="4"/>
        <v>0</v>
      </c>
      <c r="C13" s="37"/>
      <c r="D13" s="37"/>
      <c r="E13" s="37"/>
      <c r="F13" s="47" t="s">
        <v>175</v>
      </c>
      <c r="G13" s="37">
        <f t="shared" si="2"/>
        <v>5956094.2404749999</v>
      </c>
      <c r="H13" s="37">
        <f>'Quyết toán chi'!F39</f>
        <v>4543929.1609150004</v>
      </c>
      <c r="I13" s="37">
        <f>'Quyết toán chi'!G39</f>
        <v>916127.10909200006</v>
      </c>
      <c r="J13" s="37">
        <f>'Quyết toán chi'!H39</f>
        <v>496037.97046799998</v>
      </c>
    </row>
    <row r="14" spans="1:13" s="19" customFormat="1" ht="35.1" customHeight="1" x14ac:dyDescent="0.25">
      <c r="A14" s="47" t="s">
        <v>170</v>
      </c>
      <c r="B14" s="46">
        <f>SUM(C14:E14)</f>
        <v>17729368.921108</v>
      </c>
      <c r="C14" s="37">
        <f>C16+C17</f>
        <v>9110305.5483790003</v>
      </c>
      <c r="D14" s="86">
        <f t="shared" ref="D14:E14" si="5">D16+D17</f>
        <v>6241184.2520000003</v>
      </c>
      <c r="E14" s="86">
        <f t="shared" si="5"/>
        <v>2377879.1207289998</v>
      </c>
      <c r="F14" s="47" t="s">
        <v>174</v>
      </c>
      <c r="G14" s="37">
        <f t="shared" si="2"/>
        <v>0</v>
      </c>
      <c r="H14" s="37"/>
      <c r="I14" s="37"/>
      <c r="J14" s="37"/>
    </row>
    <row r="15" spans="1:13" s="19" customFormat="1" ht="23.1" customHeight="1" x14ac:dyDescent="0.25">
      <c r="A15" s="47" t="s">
        <v>113</v>
      </c>
      <c r="B15" s="46"/>
      <c r="C15" s="37"/>
      <c r="D15" s="37"/>
      <c r="E15" s="37"/>
      <c r="F15" s="47" t="s">
        <v>173</v>
      </c>
      <c r="G15" s="37">
        <f t="shared" si="2"/>
        <v>5054.2901999999995</v>
      </c>
      <c r="H15" s="37">
        <f>'Quyết toán chi'!F41</f>
        <v>2981</v>
      </c>
      <c r="I15" s="37"/>
      <c r="J15" s="37">
        <f>'Quyết toán chi'!H41</f>
        <v>2073.2901999999999</v>
      </c>
      <c r="K15" s="43"/>
      <c r="L15" s="43"/>
      <c r="M15" s="43"/>
    </row>
    <row r="16" spans="1:13" s="43" customFormat="1" ht="23.1" customHeight="1" x14ac:dyDescent="0.25">
      <c r="A16" s="49" t="s">
        <v>114</v>
      </c>
      <c r="B16" s="46">
        <f>SUM(C16:E16)</f>
        <v>11647747.547999999</v>
      </c>
      <c r="C16" s="46">
        <v>6073471</v>
      </c>
      <c r="D16" s="46">
        <v>4627288.88</v>
      </c>
      <c r="E16" s="46">
        <v>946987.66799999995</v>
      </c>
      <c r="F16" s="47"/>
      <c r="G16" s="37"/>
      <c r="H16" s="46"/>
      <c r="I16" s="46"/>
      <c r="J16" s="46"/>
    </row>
    <row r="17" spans="1:13" s="43" customFormat="1" ht="23.1" customHeight="1" x14ac:dyDescent="0.25">
      <c r="A17" s="49" t="s">
        <v>115</v>
      </c>
      <c r="B17" s="46">
        <f>SUM(C17:E17)</f>
        <v>6081621.3731079996</v>
      </c>
      <c r="C17" s="46">
        <v>3036834.5483789998</v>
      </c>
      <c r="D17" s="46">
        <v>1613895.372</v>
      </c>
      <c r="E17" s="54">
        <v>1430891.452729</v>
      </c>
      <c r="F17" s="50"/>
      <c r="G17" s="46"/>
      <c r="H17" s="46"/>
      <c r="I17" s="46"/>
      <c r="J17" s="46"/>
    </row>
    <row r="18" spans="1:13" s="43" customFormat="1" ht="35.1" customHeight="1" x14ac:dyDescent="0.25">
      <c r="A18" s="45" t="s">
        <v>171</v>
      </c>
      <c r="B18" s="37">
        <f>SUM(C18:E18)</f>
        <v>2073.2901999999999</v>
      </c>
      <c r="C18" s="37"/>
      <c r="D18" s="55">
        <v>2073.2901999999999</v>
      </c>
      <c r="E18" s="37"/>
      <c r="F18" s="50"/>
      <c r="G18" s="46"/>
      <c r="H18" s="46"/>
      <c r="I18" s="46"/>
      <c r="J18" s="46"/>
      <c r="K18" s="24"/>
      <c r="L18" s="24"/>
      <c r="M18" s="24"/>
    </row>
    <row r="19" spans="1:13" s="24" customFormat="1" ht="35.1" customHeight="1" x14ac:dyDescent="0.25">
      <c r="A19" s="14" t="s">
        <v>116</v>
      </c>
      <c r="B19" s="7">
        <f>SUM(C19:E19)</f>
        <v>229470.89251899719</v>
      </c>
      <c r="C19" s="7">
        <f>C6-H6</f>
        <v>99743.498566998169</v>
      </c>
      <c r="D19" s="7">
        <f>D6-I6</f>
        <v>76390.471407999285</v>
      </c>
      <c r="E19" s="7">
        <f>E6-J6</f>
        <v>53336.922543999739</v>
      </c>
      <c r="F19" s="42"/>
      <c r="G19" s="7"/>
      <c r="H19" s="7"/>
      <c r="I19" s="7"/>
      <c r="J19" s="7"/>
    </row>
    <row r="20" spans="1:13" s="24" customFormat="1" ht="33" customHeight="1" x14ac:dyDescent="0.25">
      <c r="A20" s="14" t="s">
        <v>163</v>
      </c>
      <c r="B20" s="7">
        <f>SUM(C20:E20)</f>
        <v>26193</v>
      </c>
      <c r="C20" s="7">
        <v>26193</v>
      </c>
      <c r="D20" s="7"/>
      <c r="E20" s="7"/>
      <c r="F20" s="42" t="s">
        <v>172</v>
      </c>
      <c r="G20" s="21">
        <f>H20</f>
        <v>114758.06679899999</v>
      </c>
      <c r="H20" s="21">
        <f>'Quyết toán chi'!F47</f>
        <v>114758.06679899999</v>
      </c>
      <c r="I20" s="21"/>
      <c r="J20" s="21"/>
      <c r="K20" s="19"/>
      <c r="L20" s="19"/>
      <c r="M20" s="19"/>
    </row>
    <row r="21" spans="1:13" ht="21.6" customHeight="1" x14ac:dyDescent="0.25">
      <c r="B21" s="32"/>
      <c r="G21" s="108" t="s">
        <v>201</v>
      </c>
      <c r="H21" s="108"/>
      <c r="I21" s="108"/>
      <c r="J21" s="108"/>
    </row>
  </sheetData>
  <mergeCells count="5">
    <mergeCell ref="A2:J2"/>
    <mergeCell ref="A3:J3"/>
    <mergeCell ref="I4:J4"/>
    <mergeCell ref="I1:J1"/>
    <mergeCell ref="G21:J21"/>
  </mergeCells>
  <printOptions horizontalCentered="1"/>
  <pageMargins left="0" right="0" top="0.39" bottom="0.6" header="0.3" footer="0.2"/>
  <pageSetup paperSize="9" scale="92" orientation="landscape" r:id="rId1"/>
  <headerFooter>
    <oddFooter>&amp;C&amp;P/&amp;N (Biểu 01/QTNS)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3"/>
  <sheetViews>
    <sheetView workbookViewId="0">
      <pane ySplit="7" topLeftCell="A81" activePane="bottomLeft" state="frozen"/>
      <selection pane="bottomLeft" activeCell="F83" sqref="F83"/>
    </sheetView>
  </sheetViews>
  <sheetFormatPr defaultColWidth="9.140625" defaultRowHeight="15" x14ac:dyDescent="0.25"/>
  <cols>
    <col min="1" max="1" width="5" style="17" customWidth="1"/>
    <col min="2" max="2" width="37.42578125" style="17" customWidth="1"/>
    <col min="3" max="4" width="11.85546875" style="17" customWidth="1"/>
    <col min="5" max="5" width="13.85546875" style="17" customWidth="1"/>
    <col min="6" max="6" width="10.28515625" style="17" customWidth="1"/>
    <col min="7" max="7" width="12.7109375" style="17" customWidth="1"/>
    <col min="8" max="8" width="11.42578125" style="103" customWidth="1"/>
    <col min="9" max="9" width="10.85546875" style="103" customWidth="1"/>
    <col min="10" max="11" width="9.140625" style="17"/>
    <col min="12" max="12" width="11" style="17" customWidth="1"/>
    <col min="13" max="13" width="9.5703125" style="17" customWidth="1"/>
    <col min="14" max="14" width="12" style="17" customWidth="1"/>
    <col min="15" max="15" width="11.140625" style="17" customWidth="1"/>
    <col min="16" max="16" width="11.85546875" style="17" customWidth="1"/>
    <col min="17" max="17" width="12.7109375" style="17" bestFit="1" customWidth="1"/>
    <col min="18" max="16384" width="9.140625" style="17"/>
  </cols>
  <sheetData>
    <row r="1" spans="1:16" ht="16.5" x14ac:dyDescent="0.25">
      <c r="A1" s="1"/>
      <c r="B1" s="2"/>
      <c r="C1" s="3"/>
      <c r="D1" s="3"/>
      <c r="E1" s="3"/>
      <c r="F1" s="3"/>
      <c r="G1" s="3"/>
      <c r="H1" s="96"/>
      <c r="I1" s="113" t="s">
        <v>159</v>
      </c>
      <c r="J1" s="113"/>
      <c r="K1" s="113"/>
    </row>
    <row r="2" spans="1:16" ht="18.75" x14ac:dyDescent="0.25">
      <c r="A2" s="114" t="s">
        <v>182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6" ht="18.75" x14ac:dyDescent="0.25">
      <c r="A3" s="118" t="str">
        <f>'Biểu cân  đối'!$A$3:$J$3</f>
        <v>(Ban hành kèm theo Báo cáo số      /BC-UBND ngày     /11/2019 của UBND tỉnh)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6" ht="15.75" x14ac:dyDescent="0.25">
      <c r="A4" s="4"/>
      <c r="B4" s="5"/>
      <c r="C4" s="6"/>
      <c r="D4" s="6"/>
      <c r="E4" s="6"/>
      <c r="F4" s="6"/>
      <c r="G4" s="6"/>
      <c r="H4" s="97"/>
      <c r="I4" s="115" t="s">
        <v>0</v>
      </c>
      <c r="J4" s="115"/>
      <c r="K4" s="115"/>
    </row>
    <row r="5" spans="1:16" s="26" customFormat="1" ht="24.75" customHeight="1" x14ac:dyDescent="0.25">
      <c r="A5" s="116" t="s">
        <v>1</v>
      </c>
      <c r="B5" s="116" t="s">
        <v>2</v>
      </c>
      <c r="C5" s="112" t="s">
        <v>183</v>
      </c>
      <c r="D5" s="112"/>
      <c r="E5" s="112" t="s">
        <v>67</v>
      </c>
      <c r="F5" s="112" t="s">
        <v>68</v>
      </c>
      <c r="G5" s="112"/>
      <c r="H5" s="112"/>
      <c r="I5" s="112"/>
      <c r="J5" s="112" t="s">
        <v>3</v>
      </c>
      <c r="K5" s="112"/>
    </row>
    <row r="6" spans="1:16" s="26" customFormat="1" x14ac:dyDescent="0.25">
      <c r="A6" s="116"/>
      <c r="B6" s="116"/>
      <c r="C6" s="112" t="s">
        <v>4</v>
      </c>
      <c r="D6" s="112" t="s">
        <v>5</v>
      </c>
      <c r="E6" s="117"/>
      <c r="F6" s="112" t="s">
        <v>6</v>
      </c>
      <c r="G6" s="112" t="s">
        <v>7</v>
      </c>
      <c r="H6" s="111" t="s">
        <v>8</v>
      </c>
      <c r="I6" s="111" t="s">
        <v>9</v>
      </c>
      <c r="J6" s="112" t="s">
        <v>4</v>
      </c>
      <c r="K6" s="112" t="s">
        <v>5</v>
      </c>
    </row>
    <row r="7" spans="1:16" s="26" customFormat="1" ht="24" customHeight="1" x14ac:dyDescent="0.25">
      <c r="A7" s="116"/>
      <c r="B7" s="116"/>
      <c r="C7" s="112"/>
      <c r="D7" s="112"/>
      <c r="E7" s="117"/>
      <c r="F7" s="112"/>
      <c r="G7" s="112"/>
      <c r="H7" s="111"/>
      <c r="I7" s="111"/>
      <c r="J7" s="116" t="s">
        <v>10</v>
      </c>
      <c r="K7" s="112"/>
    </row>
    <row r="8" spans="1:16" s="26" customFormat="1" ht="18" customHeight="1" x14ac:dyDescent="0.25">
      <c r="A8" s="71" t="s">
        <v>11</v>
      </c>
      <c r="B8" s="71" t="s">
        <v>12</v>
      </c>
      <c r="C8" s="72">
        <v>1</v>
      </c>
      <c r="D8" s="72">
        <v>2</v>
      </c>
      <c r="E8" s="72" t="s">
        <v>13</v>
      </c>
      <c r="F8" s="72">
        <v>4</v>
      </c>
      <c r="G8" s="72">
        <v>6</v>
      </c>
      <c r="H8" s="98">
        <v>7</v>
      </c>
      <c r="I8" s="98">
        <v>8</v>
      </c>
      <c r="J8" s="72" t="s">
        <v>14</v>
      </c>
      <c r="K8" s="72" t="s">
        <v>15</v>
      </c>
    </row>
    <row r="9" spans="1:16" s="26" customFormat="1" ht="24.75" customHeight="1" x14ac:dyDescent="0.25">
      <c r="A9" s="73"/>
      <c r="B9" s="71" t="s">
        <v>156</v>
      </c>
      <c r="C9" s="7">
        <f>C10+C68+C75+C82+C83</f>
        <v>20248464</v>
      </c>
      <c r="D9" s="7">
        <f>D10+D68+D75+D82+D83</f>
        <v>20894039</v>
      </c>
      <c r="E9" s="7">
        <f t="shared" ref="E9:E11" si="0">SUM(F9:I9)</f>
        <v>35404946.13893</v>
      </c>
      <c r="F9" s="7">
        <f>F10+F68+F75+F82+F83</f>
        <v>6474831.0328170005</v>
      </c>
      <c r="G9" s="7">
        <f>G10+G68+G75+G82+G83</f>
        <v>16636268.493099</v>
      </c>
      <c r="H9" s="64">
        <f>H10+H68+H75+H82+H83</f>
        <v>8361378.4918429991</v>
      </c>
      <c r="I9" s="64">
        <f>I10+I68+I75+I82+I83</f>
        <v>3932468.1211709995</v>
      </c>
      <c r="J9" s="8">
        <f>E9/C9</f>
        <v>1.7485250307840634</v>
      </c>
      <c r="K9" s="8">
        <f>E9/D9</f>
        <v>1.6944998589755671</v>
      </c>
      <c r="L9" s="27"/>
      <c r="M9" s="34"/>
      <c r="N9" s="34"/>
      <c r="O9" s="27"/>
    </row>
    <row r="10" spans="1:16" s="26" customFormat="1" ht="38.1" customHeight="1" x14ac:dyDescent="0.25">
      <c r="A10" s="71" t="s">
        <v>11</v>
      </c>
      <c r="B10" s="14" t="s">
        <v>157</v>
      </c>
      <c r="C10" s="7">
        <f>C11+C49+C50+C60+C61+C64</f>
        <v>11308000</v>
      </c>
      <c r="D10" s="7">
        <f>D11+D49+D50+D60+D61+D64</f>
        <v>11953675</v>
      </c>
      <c r="E10" s="7">
        <f>SUM(F10:I10)</f>
        <v>12789375.656425999</v>
      </c>
      <c r="F10" s="7">
        <f>(F11+F49+F50+F60+F61+F64)</f>
        <v>6471850.0328170005</v>
      </c>
      <c r="G10" s="7">
        <f t="shared" ref="G10:I10" si="1">(G11+G49+G50+G60+G61+G64)</f>
        <v>3589321.1551239993</v>
      </c>
      <c r="H10" s="64">
        <f t="shared" si="1"/>
        <v>1413153.4828429997</v>
      </c>
      <c r="I10" s="64">
        <f t="shared" si="1"/>
        <v>1315050.9856419999</v>
      </c>
      <c r="J10" s="8">
        <f t="shared" ref="J10:J51" si="2">E10/C10</f>
        <v>1.1310024457398302</v>
      </c>
      <c r="K10" s="8">
        <f t="shared" ref="K10:K51" si="3">E10/D10</f>
        <v>1.0699116093106094</v>
      </c>
      <c r="M10" s="27"/>
      <c r="N10" s="27"/>
      <c r="O10" s="27"/>
    </row>
    <row r="11" spans="1:16" s="26" customFormat="1" ht="24.75" customHeight="1" x14ac:dyDescent="0.25">
      <c r="A11" s="71" t="s">
        <v>16</v>
      </c>
      <c r="B11" s="14" t="s">
        <v>17</v>
      </c>
      <c r="C11" s="7">
        <f>C12+C19+C24+C29+C30+C31+C32+C33+C34+C38+C39+C40+C41+C42+C43+C44+C45+C46+C47</f>
        <v>5408000</v>
      </c>
      <c r="D11" s="7">
        <f>D12+D19+D24+D29+D30+D31+D32+D33+D34+D38+D39+D40+D41+D42+D43+D44+D45+D46+D47</f>
        <v>6000000</v>
      </c>
      <c r="E11" s="7">
        <f t="shared" si="0"/>
        <v>6756653.4716929989</v>
      </c>
      <c r="F11" s="7">
        <f>F12+F19+F24+F29+F30+F31+F32+F33+F34+F38+F39+F40+F41+F42+F43+F44+F45+F46+F47+F48</f>
        <v>488847.11864299991</v>
      </c>
      <c r="G11" s="7">
        <f t="shared" ref="G11:I11" si="4">G12+G19+G24+G29+G30+G31+G32+G33+G34+G38+G39+G40+G41+G42+G43+G44+G45+G46+G47+G48</f>
        <v>3589266.4601239995</v>
      </c>
      <c r="H11" s="64">
        <f t="shared" si="4"/>
        <v>1412490.4428429997</v>
      </c>
      <c r="I11" s="64">
        <f t="shared" si="4"/>
        <v>1266049.4500829999</v>
      </c>
      <c r="J11" s="8">
        <f t="shared" si="2"/>
        <v>1.2493811892923445</v>
      </c>
      <c r="K11" s="8">
        <f t="shared" si="3"/>
        <v>1.1261089119488332</v>
      </c>
      <c r="L11" s="27"/>
      <c r="M11" s="27"/>
      <c r="N11" s="27"/>
      <c r="O11" s="27"/>
      <c r="P11" s="27"/>
    </row>
    <row r="12" spans="1:16" s="26" customFormat="1" ht="24.75" customHeight="1" x14ac:dyDescent="0.25">
      <c r="A12" s="71">
        <v>1</v>
      </c>
      <c r="B12" s="14" t="s">
        <v>18</v>
      </c>
      <c r="C12" s="7">
        <f>SUM(C13:C18)</f>
        <v>1245000</v>
      </c>
      <c r="D12" s="7">
        <v>1324200</v>
      </c>
      <c r="E12" s="64">
        <f>SUM(F12:I12)</f>
        <v>1130395.2395329999</v>
      </c>
      <c r="F12" s="7">
        <f>SUM(F13:F18)</f>
        <v>0</v>
      </c>
      <c r="G12" s="7">
        <f>SUM(G13:G18)</f>
        <v>1119467.513329</v>
      </c>
      <c r="H12" s="64">
        <f>SUM(H13:H18)</f>
        <v>10671.691417999999</v>
      </c>
      <c r="I12" s="64">
        <f>SUM(I13:I18)</f>
        <v>256.034786</v>
      </c>
      <c r="J12" s="8">
        <f t="shared" si="2"/>
        <v>0.90794798356064255</v>
      </c>
      <c r="K12" s="8">
        <f t="shared" si="3"/>
        <v>0.85364389029829324</v>
      </c>
      <c r="L12" s="27"/>
    </row>
    <row r="13" spans="1:16" s="26" customFormat="1" ht="24.75" customHeight="1" x14ac:dyDescent="0.25">
      <c r="A13" s="73" t="s">
        <v>19</v>
      </c>
      <c r="B13" s="15" t="s">
        <v>20</v>
      </c>
      <c r="C13" s="74">
        <v>673220</v>
      </c>
      <c r="D13" s="74"/>
      <c r="E13" s="74">
        <f t="shared" ref="E13:E83" si="5">SUM(F13:I13)</f>
        <v>567935.23412399995</v>
      </c>
      <c r="F13" s="74"/>
      <c r="G13" s="74">
        <f>467641.768811+93417.929567</f>
        <v>561059.69837799994</v>
      </c>
      <c r="H13" s="99">
        <f>2546.8978+4195.718</f>
        <v>6742.6157999999996</v>
      </c>
      <c r="I13" s="99">
        <f>103.576531+29.343415</f>
        <v>132.91994600000001</v>
      </c>
      <c r="J13" s="9">
        <f t="shared" si="2"/>
        <v>0.84361016328094818</v>
      </c>
      <c r="K13" s="9"/>
      <c r="M13" s="27"/>
      <c r="N13" s="27"/>
      <c r="O13" s="27"/>
    </row>
    <row r="14" spans="1:16" s="26" customFormat="1" ht="36" customHeight="1" x14ac:dyDescent="0.25">
      <c r="A14" s="73" t="s">
        <v>21</v>
      </c>
      <c r="B14" s="15" t="s">
        <v>22</v>
      </c>
      <c r="C14" s="74">
        <v>500280</v>
      </c>
      <c r="D14" s="74"/>
      <c r="E14" s="74">
        <f t="shared" si="5"/>
        <v>515628.984199</v>
      </c>
      <c r="F14" s="74"/>
      <c r="G14" s="74">
        <f>515321.4919+307.492299</f>
        <v>515628.984199</v>
      </c>
      <c r="H14" s="99"/>
      <c r="I14" s="99"/>
      <c r="J14" s="9">
        <f t="shared" si="2"/>
        <v>1.0306807871571919</v>
      </c>
      <c r="K14" s="9"/>
      <c r="O14" s="27"/>
    </row>
    <row r="15" spans="1:16" s="26" customFormat="1" ht="24.75" customHeight="1" x14ac:dyDescent="0.25">
      <c r="A15" s="73" t="s">
        <v>23</v>
      </c>
      <c r="B15" s="15" t="s">
        <v>24</v>
      </c>
      <c r="C15" s="74">
        <v>58500</v>
      </c>
      <c r="D15" s="74"/>
      <c r="E15" s="74">
        <f t="shared" si="5"/>
        <v>37376.425058000001</v>
      </c>
      <c r="F15" s="74"/>
      <c r="G15" s="74">
        <f>13603.3749+19877.8767</f>
        <v>33481.251600000003</v>
      </c>
      <c r="H15" s="99">
        <f>1563.068+2286.135618</f>
        <v>3849.2036179999996</v>
      </c>
      <c r="I15" s="99">
        <v>45.969839999999998</v>
      </c>
      <c r="J15" s="9">
        <f t="shared" si="2"/>
        <v>0.63891324885470091</v>
      </c>
      <c r="K15" s="9"/>
    </row>
    <row r="16" spans="1:16" s="26" customFormat="1" ht="24.75" customHeight="1" x14ac:dyDescent="0.25">
      <c r="A16" s="73" t="s">
        <v>25</v>
      </c>
      <c r="B16" s="15" t="s">
        <v>26</v>
      </c>
      <c r="C16" s="74">
        <v>13000</v>
      </c>
      <c r="D16" s="74"/>
      <c r="E16" s="74">
        <f t="shared" si="5"/>
        <v>9454.5961520000001</v>
      </c>
      <c r="F16" s="74"/>
      <c r="G16" s="74">
        <f>2035.244725+7262.334427</f>
        <v>9297.5791520000002</v>
      </c>
      <c r="H16" s="99">
        <v>79.872</v>
      </c>
      <c r="I16" s="99">
        <v>77.144999999999996</v>
      </c>
      <c r="J16" s="9">
        <f t="shared" si="2"/>
        <v>0.72727662707692309</v>
      </c>
      <c r="K16" s="9"/>
    </row>
    <row r="17" spans="1:11" s="26" customFormat="1" ht="24.75" hidden="1" customHeight="1" x14ac:dyDescent="0.25">
      <c r="A17" s="73" t="s">
        <v>27</v>
      </c>
      <c r="B17" s="15" t="s">
        <v>28</v>
      </c>
      <c r="C17" s="74"/>
      <c r="D17" s="74"/>
      <c r="E17" s="74">
        <f t="shared" si="5"/>
        <v>0</v>
      </c>
      <c r="F17" s="74"/>
      <c r="G17" s="74"/>
      <c r="H17" s="99"/>
      <c r="I17" s="99"/>
      <c r="J17" s="9"/>
      <c r="K17" s="9"/>
    </row>
    <row r="18" spans="1:11" s="26" customFormat="1" ht="24.75" hidden="1" customHeight="1" x14ac:dyDescent="0.25">
      <c r="A18" s="73" t="s">
        <v>29</v>
      </c>
      <c r="B18" s="15" t="s">
        <v>30</v>
      </c>
      <c r="C18" s="74"/>
      <c r="D18" s="74"/>
      <c r="E18" s="74">
        <f t="shared" si="5"/>
        <v>0</v>
      </c>
      <c r="F18" s="74"/>
      <c r="G18" s="74"/>
      <c r="H18" s="99"/>
      <c r="I18" s="99"/>
      <c r="J18" s="9"/>
      <c r="K18" s="9"/>
    </row>
    <row r="19" spans="1:11" s="26" customFormat="1" ht="26.25" customHeight="1" x14ac:dyDescent="0.25">
      <c r="A19" s="71">
        <v>2</v>
      </c>
      <c r="B19" s="14" t="s">
        <v>31</v>
      </c>
      <c r="C19" s="7">
        <f>SUM(C20:C23)</f>
        <v>1056000</v>
      </c>
      <c r="D19" s="7">
        <v>1180000</v>
      </c>
      <c r="E19" s="64">
        <f t="shared" si="5"/>
        <v>1424956.9665409999</v>
      </c>
      <c r="F19" s="7">
        <f>SUM(F20:F23)</f>
        <v>0</v>
      </c>
      <c r="G19" s="7">
        <f>SUM(G20:G23)</f>
        <v>1421260.8902079999</v>
      </c>
      <c r="H19" s="64">
        <f>SUM(H20:H23)</f>
        <v>3693.1868000000004</v>
      </c>
      <c r="I19" s="64">
        <f>SUM(I20:I23)</f>
        <v>2.8895330000000001</v>
      </c>
      <c r="J19" s="8">
        <f t="shared" si="2"/>
        <v>1.3493910668001894</v>
      </c>
      <c r="K19" s="8">
        <f t="shared" si="3"/>
        <v>1.2075906496110169</v>
      </c>
    </row>
    <row r="20" spans="1:11" s="26" customFormat="1" ht="24.75" customHeight="1" x14ac:dyDescent="0.25">
      <c r="A20" s="73" t="s">
        <v>32</v>
      </c>
      <c r="B20" s="15" t="s">
        <v>20</v>
      </c>
      <c r="C20" s="74">
        <v>417000</v>
      </c>
      <c r="D20" s="74"/>
      <c r="E20" s="74">
        <f t="shared" si="5"/>
        <v>531231.56887700001</v>
      </c>
      <c r="F20" s="74"/>
      <c r="G20" s="74">
        <v>527572.2868</v>
      </c>
      <c r="H20" s="99">
        <v>3657.5273000000002</v>
      </c>
      <c r="I20" s="99">
        <v>1.754777</v>
      </c>
      <c r="J20" s="9">
        <f t="shared" si="2"/>
        <v>1.2739366160119905</v>
      </c>
      <c r="K20" s="9"/>
    </row>
    <row r="21" spans="1:11" s="85" customFormat="1" ht="36" hidden="1" customHeight="1" x14ac:dyDescent="0.25">
      <c r="A21" s="81" t="s">
        <v>33</v>
      </c>
      <c r="B21" s="82" t="s">
        <v>22</v>
      </c>
      <c r="C21" s="83"/>
      <c r="D21" s="83"/>
      <c r="E21" s="83">
        <f t="shared" si="5"/>
        <v>0</v>
      </c>
      <c r="F21" s="83"/>
      <c r="G21" s="83"/>
      <c r="H21" s="99"/>
      <c r="I21" s="99"/>
      <c r="J21" s="84"/>
      <c r="K21" s="84"/>
    </row>
    <row r="22" spans="1:11" s="26" customFormat="1" ht="24.75" customHeight="1" x14ac:dyDescent="0.25">
      <c r="A22" s="80" t="s">
        <v>33</v>
      </c>
      <c r="B22" s="15" t="s">
        <v>35</v>
      </c>
      <c r="C22" s="74">
        <v>639000</v>
      </c>
      <c r="D22" s="74"/>
      <c r="E22" s="74">
        <f t="shared" si="5"/>
        <v>891784.78196399997</v>
      </c>
      <c r="F22" s="74"/>
      <c r="G22" s="74">
        <v>891747.987708</v>
      </c>
      <c r="H22" s="99">
        <v>35.659500000000001</v>
      </c>
      <c r="I22" s="99">
        <v>1.1347560000000001</v>
      </c>
      <c r="J22" s="9">
        <f t="shared" si="2"/>
        <v>1.395594337971831</v>
      </c>
      <c r="K22" s="9"/>
    </row>
    <row r="23" spans="1:11" s="26" customFormat="1" ht="24.75" customHeight="1" x14ac:dyDescent="0.25">
      <c r="A23" s="80" t="s">
        <v>34</v>
      </c>
      <c r="B23" s="15" t="s">
        <v>26</v>
      </c>
      <c r="C23" s="74"/>
      <c r="D23" s="74"/>
      <c r="E23" s="74">
        <f t="shared" si="5"/>
        <v>1940.6157000000001</v>
      </c>
      <c r="F23" s="74"/>
      <c r="G23" s="74">
        <v>1940.6157000000001</v>
      </c>
      <c r="H23" s="99">
        <v>0</v>
      </c>
      <c r="I23" s="99">
        <v>0</v>
      </c>
      <c r="J23" s="9" t="e">
        <f t="shared" si="2"/>
        <v>#DIV/0!</v>
      </c>
      <c r="K23" s="9"/>
    </row>
    <row r="24" spans="1:11" s="26" customFormat="1" ht="36" customHeight="1" x14ac:dyDescent="0.25">
      <c r="A24" s="71">
        <v>3</v>
      </c>
      <c r="B24" s="14" t="s">
        <v>37</v>
      </c>
      <c r="C24" s="7">
        <f>SUM(C25:C28)</f>
        <v>750000</v>
      </c>
      <c r="D24" s="7">
        <v>750000</v>
      </c>
      <c r="E24" s="64">
        <f t="shared" si="5"/>
        <v>697489.34324700001</v>
      </c>
      <c r="F24" s="7">
        <f>SUM(F25:F28)</f>
        <v>1.6433819999999999</v>
      </c>
      <c r="G24" s="7">
        <f>SUM(G25:G28)</f>
        <v>326466.16817099997</v>
      </c>
      <c r="H24" s="64">
        <f>SUM(H25:H28)</f>
        <v>302142.93026300002</v>
      </c>
      <c r="I24" s="64">
        <f>SUM(I25:I28)</f>
        <v>68878.601431000003</v>
      </c>
      <c r="J24" s="8">
        <f t="shared" si="2"/>
        <v>0.92998579099599998</v>
      </c>
      <c r="K24" s="8">
        <f t="shared" si="3"/>
        <v>0.92998579099599998</v>
      </c>
    </row>
    <row r="25" spans="1:11" s="26" customFormat="1" ht="24.75" customHeight="1" x14ac:dyDescent="0.25">
      <c r="A25" s="73" t="s">
        <v>38</v>
      </c>
      <c r="B25" s="15" t="s">
        <v>20</v>
      </c>
      <c r="C25" s="74">
        <v>613000</v>
      </c>
      <c r="D25" s="74"/>
      <c r="E25" s="74">
        <f t="shared" si="5"/>
        <v>576672.15399999998</v>
      </c>
      <c r="F25" s="74"/>
      <c r="G25" s="74">
        <v>265078.14379</v>
      </c>
      <c r="H25" s="99">
        <v>254836.09959</v>
      </c>
      <c r="I25" s="99">
        <v>56757.910620000002</v>
      </c>
      <c r="J25" s="9">
        <f t="shared" si="2"/>
        <v>0.94073760848287113</v>
      </c>
      <c r="K25" s="9"/>
    </row>
    <row r="26" spans="1:11" s="26" customFormat="1" ht="36" customHeight="1" x14ac:dyDescent="0.25">
      <c r="A26" s="73" t="s">
        <v>39</v>
      </c>
      <c r="B26" s="15" t="s">
        <v>22</v>
      </c>
      <c r="C26" s="74">
        <v>6000</v>
      </c>
      <c r="D26" s="74"/>
      <c r="E26" s="74">
        <f t="shared" si="5"/>
        <v>4135.0438880000002</v>
      </c>
      <c r="F26" s="74">
        <v>1.6433819999999999</v>
      </c>
      <c r="G26" s="74">
        <v>1915.5796170000001</v>
      </c>
      <c r="H26" s="99">
        <v>1145.0597720000001</v>
      </c>
      <c r="I26" s="99">
        <v>1072.761117</v>
      </c>
      <c r="J26" s="9">
        <f t="shared" si="2"/>
        <v>0.68917398133333341</v>
      </c>
      <c r="K26" s="9"/>
    </row>
    <row r="27" spans="1:11" s="26" customFormat="1" ht="24.75" customHeight="1" x14ac:dyDescent="0.25">
      <c r="A27" s="73" t="s">
        <v>40</v>
      </c>
      <c r="B27" s="15" t="s">
        <v>35</v>
      </c>
      <c r="C27" s="74">
        <v>88000</v>
      </c>
      <c r="D27" s="74"/>
      <c r="E27" s="74">
        <f t="shared" si="5"/>
        <v>79891.864462999991</v>
      </c>
      <c r="F27" s="74"/>
      <c r="G27" s="74">
        <v>42772.769345000001</v>
      </c>
      <c r="H27" s="99">
        <v>32832.527598000001</v>
      </c>
      <c r="I27" s="99">
        <v>4286.5675199999996</v>
      </c>
      <c r="J27" s="9">
        <f t="shared" si="2"/>
        <v>0.90786209617045444</v>
      </c>
      <c r="K27" s="9"/>
    </row>
    <row r="28" spans="1:11" s="26" customFormat="1" ht="24.75" customHeight="1" x14ac:dyDescent="0.25">
      <c r="A28" s="73" t="s">
        <v>41</v>
      </c>
      <c r="B28" s="15" t="s">
        <v>26</v>
      </c>
      <c r="C28" s="74">
        <v>43000</v>
      </c>
      <c r="D28" s="74"/>
      <c r="E28" s="74">
        <f t="shared" si="5"/>
        <v>36790.280895999997</v>
      </c>
      <c r="F28" s="74"/>
      <c r="G28" s="74">
        <v>16699.675418999999</v>
      </c>
      <c r="H28" s="99">
        <v>13329.243302999999</v>
      </c>
      <c r="I28" s="99">
        <v>6761.3621739999999</v>
      </c>
      <c r="J28" s="9">
        <f t="shared" si="2"/>
        <v>0.85558792781395343</v>
      </c>
      <c r="K28" s="9"/>
    </row>
    <row r="29" spans="1:11" s="26" customFormat="1" ht="24.75" customHeight="1" x14ac:dyDescent="0.25">
      <c r="A29" s="71">
        <v>4</v>
      </c>
      <c r="B29" s="14" t="s">
        <v>42</v>
      </c>
      <c r="C29" s="7"/>
      <c r="D29" s="7"/>
      <c r="E29" s="64">
        <f>SUM(F29:I29)</f>
        <v>41.017499999999998</v>
      </c>
      <c r="F29" s="7"/>
      <c r="G29" s="7"/>
      <c r="H29" s="64"/>
      <c r="I29" s="64">
        <v>41.017499999999998</v>
      </c>
      <c r="J29" s="8"/>
      <c r="K29" s="8"/>
    </row>
    <row r="30" spans="1:11" s="26" customFormat="1" ht="24.75" customHeight="1" x14ac:dyDescent="0.25">
      <c r="A30" s="71">
        <v>5</v>
      </c>
      <c r="B30" s="14" t="s">
        <v>43</v>
      </c>
      <c r="C30" s="7">
        <v>250000</v>
      </c>
      <c r="D30" s="7">
        <v>275000</v>
      </c>
      <c r="E30" s="64">
        <f t="shared" si="5"/>
        <v>316997.84048399999</v>
      </c>
      <c r="F30" s="74"/>
      <c r="G30" s="7"/>
      <c r="H30" s="64">
        <v>286172.06089999998</v>
      </c>
      <c r="I30" s="64">
        <v>30825.779584</v>
      </c>
      <c r="J30" s="8">
        <f t="shared" si="2"/>
        <v>1.2679913619359999</v>
      </c>
      <c r="K30" s="8">
        <f t="shared" si="3"/>
        <v>1.152719419941818</v>
      </c>
    </row>
    <row r="31" spans="1:11" s="26" customFormat="1" ht="24.75" customHeight="1" x14ac:dyDescent="0.25">
      <c r="A31" s="71">
        <v>6</v>
      </c>
      <c r="B31" s="14" t="s">
        <v>49</v>
      </c>
      <c r="C31" s="7">
        <v>9000</v>
      </c>
      <c r="D31" s="7">
        <v>10000</v>
      </c>
      <c r="E31" s="7">
        <f t="shared" si="5"/>
        <v>11944.998</v>
      </c>
      <c r="F31" s="7"/>
      <c r="G31" s="7"/>
      <c r="H31" s="64"/>
      <c r="I31" s="64">
        <v>11944.998</v>
      </c>
      <c r="J31" s="8">
        <f t="shared" si="2"/>
        <v>1.3272219999999999</v>
      </c>
      <c r="K31" s="8">
        <f t="shared" si="3"/>
        <v>1.1944998</v>
      </c>
    </row>
    <row r="32" spans="1:11" s="26" customFormat="1" ht="24.75" customHeight="1" x14ac:dyDescent="0.25">
      <c r="A32" s="71">
        <v>7</v>
      </c>
      <c r="B32" s="14" t="s">
        <v>44</v>
      </c>
      <c r="C32" s="7">
        <v>220000</v>
      </c>
      <c r="D32" s="7">
        <v>220000</v>
      </c>
      <c r="E32" s="7">
        <f t="shared" si="5"/>
        <v>188850.87691700002</v>
      </c>
      <c r="F32" s="7"/>
      <c r="G32" s="7">
        <v>148097.05080600001</v>
      </c>
      <c r="H32" s="64">
        <v>40753.428891000003</v>
      </c>
      <c r="I32" s="64">
        <v>0.39722000000000002</v>
      </c>
      <c r="J32" s="8">
        <f t="shared" si="2"/>
        <v>0.85841307689545465</v>
      </c>
      <c r="K32" s="8">
        <f t="shared" si="3"/>
        <v>0.85841307689545465</v>
      </c>
    </row>
    <row r="33" spans="1:11" s="26" customFormat="1" ht="24.75" customHeight="1" x14ac:dyDescent="0.25">
      <c r="A33" s="71">
        <v>8</v>
      </c>
      <c r="B33" s="16" t="s">
        <v>53</v>
      </c>
      <c r="C33" s="7">
        <v>590000</v>
      </c>
      <c r="D33" s="7">
        <v>600000</v>
      </c>
      <c r="E33" s="7">
        <f t="shared" si="5"/>
        <v>552786.06052199996</v>
      </c>
      <c r="F33" s="7">
        <v>347148.23660599999</v>
      </c>
      <c r="G33" s="7">
        <v>205635.57962500001</v>
      </c>
      <c r="H33" s="64">
        <v>1.571</v>
      </c>
      <c r="I33" s="64">
        <v>0.67329099999999997</v>
      </c>
      <c r="J33" s="8">
        <f t="shared" si="2"/>
        <v>0.93692552630847448</v>
      </c>
      <c r="K33" s="8">
        <f t="shared" si="3"/>
        <v>0.92131010086999998</v>
      </c>
    </row>
    <row r="34" spans="1:11" s="26" customFormat="1" ht="24.75" customHeight="1" x14ac:dyDescent="0.25">
      <c r="A34" s="71">
        <v>9</v>
      </c>
      <c r="B34" s="14" t="s">
        <v>45</v>
      </c>
      <c r="C34" s="7">
        <f>C35+C36</f>
        <v>110000</v>
      </c>
      <c r="D34" s="7">
        <v>113000</v>
      </c>
      <c r="E34" s="7">
        <f t="shared" si="5"/>
        <v>129751.365385</v>
      </c>
      <c r="F34" s="7">
        <f t="shared" ref="F34:I34" si="6">SUM(F35:F37)</f>
        <v>57046.055999999997</v>
      </c>
      <c r="G34" s="7">
        <f t="shared" si="6"/>
        <v>34964.091</v>
      </c>
      <c r="H34" s="64">
        <f t="shared" si="6"/>
        <v>23673.391449999999</v>
      </c>
      <c r="I34" s="64">
        <f t="shared" si="6"/>
        <v>14067.826934999999</v>
      </c>
      <c r="J34" s="8">
        <f t="shared" si="2"/>
        <v>1.1795578671363636</v>
      </c>
      <c r="K34" s="8">
        <f t="shared" si="3"/>
        <v>1.1482421715486726</v>
      </c>
    </row>
    <row r="35" spans="1:11" s="26" customFormat="1" ht="24.75" customHeight="1" x14ac:dyDescent="0.25">
      <c r="A35" s="73" t="s">
        <v>69</v>
      </c>
      <c r="B35" s="15" t="s">
        <v>46</v>
      </c>
      <c r="C35" s="74">
        <v>39000</v>
      </c>
      <c r="D35" s="74"/>
      <c r="E35" s="74">
        <f t="shared" si="5"/>
        <v>57046.055999999997</v>
      </c>
      <c r="F35" s="74">
        <v>57046.055999999997</v>
      </c>
      <c r="G35" s="74"/>
      <c r="H35" s="99"/>
      <c r="I35" s="99"/>
      <c r="J35" s="9">
        <f t="shared" si="2"/>
        <v>1.4627193846153845</v>
      </c>
      <c r="K35" s="9"/>
    </row>
    <row r="36" spans="1:11" s="26" customFormat="1" ht="24.75" customHeight="1" x14ac:dyDescent="0.25">
      <c r="A36" s="73" t="s">
        <v>70</v>
      </c>
      <c r="B36" s="15" t="s">
        <v>47</v>
      </c>
      <c r="C36" s="110">
        <v>71000</v>
      </c>
      <c r="D36" s="74"/>
      <c r="E36" s="74">
        <f t="shared" si="5"/>
        <v>58637.482449999996</v>
      </c>
      <c r="F36" s="74"/>
      <c r="G36" s="74">
        <v>34964.091</v>
      </c>
      <c r="H36" s="99">
        <v>23673.391449999999</v>
      </c>
      <c r="I36" s="99"/>
      <c r="J36" s="9">
        <f t="shared" si="2"/>
        <v>0.82588003450704217</v>
      </c>
      <c r="K36" s="9"/>
    </row>
    <row r="37" spans="1:11" s="26" customFormat="1" ht="24.75" customHeight="1" x14ac:dyDescent="0.25">
      <c r="A37" s="73" t="s">
        <v>71</v>
      </c>
      <c r="B37" s="15" t="s">
        <v>48</v>
      </c>
      <c r="C37" s="110"/>
      <c r="D37" s="74"/>
      <c r="E37" s="74">
        <f t="shared" si="5"/>
        <v>14067.826934999999</v>
      </c>
      <c r="F37" s="74"/>
      <c r="G37" s="74"/>
      <c r="H37" s="99"/>
      <c r="I37" s="99">
        <v>14067.826934999999</v>
      </c>
      <c r="J37" s="9"/>
      <c r="K37" s="9"/>
    </row>
    <row r="38" spans="1:11" s="28" customFormat="1" ht="24.75" customHeight="1" x14ac:dyDescent="0.25">
      <c r="A38" s="71">
        <v>10</v>
      </c>
      <c r="B38" s="16" t="s">
        <v>51</v>
      </c>
      <c r="C38" s="7">
        <v>900000</v>
      </c>
      <c r="D38" s="7">
        <v>1200000</v>
      </c>
      <c r="E38" s="7">
        <f t="shared" si="5"/>
        <v>1964950.814118</v>
      </c>
      <c r="F38" s="7"/>
      <c r="G38" s="7">
        <v>239375.98839700001</v>
      </c>
      <c r="H38" s="64">
        <v>693508.71192599996</v>
      </c>
      <c r="I38" s="64">
        <v>1032066.113795</v>
      </c>
      <c r="J38" s="8">
        <f t="shared" si="2"/>
        <v>2.1832786823533334</v>
      </c>
      <c r="K38" s="8">
        <f t="shared" si="3"/>
        <v>1.6374590117650001</v>
      </c>
    </row>
    <row r="39" spans="1:11" s="26" customFormat="1" ht="24.75" customHeight="1" x14ac:dyDescent="0.25">
      <c r="A39" s="71">
        <v>11</v>
      </c>
      <c r="B39" s="16" t="s">
        <v>50</v>
      </c>
      <c r="C39" s="7">
        <v>100000</v>
      </c>
      <c r="D39" s="7">
        <v>114000</v>
      </c>
      <c r="E39" s="7">
        <f t="shared" si="5"/>
        <v>104779.88190100002</v>
      </c>
      <c r="F39" s="7"/>
      <c r="G39" s="7">
        <v>16670.359253999999</v>
      </c>
      <c r="H39" s="64">
        <v>33914.902517000002</v>
      </c>
      <c r="I39" s="64">
        <v>54194.620130000003</v>
      </c>
      <c r="J39" s="8">
        <f t="shared" si="2"/>
        <v>1.04779881901</v>
      </c>
      <c r="K39" s="8">
        <f t="shared" si="3"/>
        <v>0.91912177106140369</v>
      </c>
    </row>
    <row r="40" spans="1:11" s="26" customFormat="1" ht="24.75" customHeight="1" x14ac:dyDescent="0.25">
      <c r="A40" s="29">
        <v>12</v>
      </c>
      <c r="B40" s="16" t="s">
        <v>72</v>
      </c>
      <c r="C40" s="30"/>
      <c r="D40" s="30"/>
      <c r="E40" s="7">
        <f t="shared" si="5"/>
        <v>0</v>
      </c>
      <c r="F40" s="30"/>
      <c r="G40" s="30"/>
      <c r="H40" s="100"/>
      <c r="I40" s="100"/>
      <c r="J40" s="8"/>
      <c r="K40" s="8"/>
    </row>
    <row r="41" spans="1:11" s="28" customFormat="1" ht="24.75" customHeight="1" x14ac:dyDescent="0.25">
      <c r="A41" s="71">
        <v>13</v>
      </c>
      <c r="B41" s="16" t="s">
        <v>73</v>
      </c>
      <c r="C41" s="7"/>
      <c r="D41" s="7"/>
      <c r="E41" s="7">
        <f t="shared" si="5"/>
        <v>461.11500000000001</v>
      </c>
      <c r="F41" s="7"/>
      <c r="G41" s="7">
        <v>461.11500000000001</v>
      </c>
      <c r="H41" s="64"/>
      <c r="I41" s="64"/>
      <c r="J41" s="8"/>
      <c r="K41" s="8"/>
    </row>
    <row r="42" spans="1:11" s="28" customFormat="1" ht="36" customHeight="1" x14ac:dyDescent="0.25">
      <c r="A42" s="71">
        <v>14</v>
      </c>
      <c r="B42" s="16" t="s">
        <v>74</v>
      </c>
      <c r="C42" s="7"/>
      <c r="D42" s="7"/>
      <c r="E42" s="7">
        <f t="shared" si="5"/>
        <v>0</v>
      </c>
      <c r="F42" s="7"/>
      <c r="G42" s="7"/>
      <c r="H42" s="64"/>
      <c r="I42" s="64"/>
      <c r="J42" s="8"/>
      <c r="K42" s="8"/>
    </row>
    <row r="43" spans="1:11" s="26" customFormat="1" ht="24.75" customHeight="1" x14ac:dyDescent="0.25">
      <c r="A43" s="71">
        <v>15</v>
      </c>
      <c r="B43" s="14" t="s">
        <v>55</v>
      </c>
      <c r="C43" s="7">
        <v>110000</v>
      </c>
      <c r="D43" s="7">
        <v>116000</v>
      </c>
      <c r="E43" s="7">
        <f t="shared" si="5"/>
        <v>181963.98148400002</v>
      </c>
      <c r="F43" s="7">
        <v>82907.815868000005</v>
      </c>
      <c r="G43" s="7">
        <v>57048.964842000001</v>
      </c>
      <c r="H43" s="64">
        <v>10512.296496000001</v>
      </c>
      <c r="I43" s="64">
        <v>31494.904278000002</v>
      </c>
      <c r="J43" s="8">
        <f t="shared" si="2"/>
        <v>1.6542180134909092</v>
      </c>
      <c r="K43" s="8">
        <f t="shared" si="3"/>
        <v>1.5686550127931036</v>
      </c>
    </row>
    <row r="44" spans="1:11" s="28" customFormat="1" ht="28.5" customHeight="1" x14ac:dyDescent="0.25">
      <c r="A44" s="71">
        <v>16</v>
      </c>
      <c r="B44" s="16" t="s">
        <v>52</v>
      </c>
      <c r="C44" s="7">
        <v>20000</v>
      </c>
      <c r="D44" s="7">
        <v>45800</v>
      </c>
      <c r="E44" s="7">
        <f t="shared" si="5"/>
        <v>16886.867793000001</v>
      </c>
      <c r="F44" s="7">
        <v>1743.3667869999999</v>
      </c>
      <c r="G44" s="7">
        <v>7697.229824</v>
      </c>
      <c r="H44" s="64">
        <v>7446.2711820000004</v>
      </c>
      <c r="I44" s="64"/>
      <c r="J44" s="8">
        <f t="shared" si="2"/>
        <v>0.84434338965000011</v>
      </c>
      <c r="K44" s="8">
        <f t="shared" si="3"/>
        <v>0.3687089037772926</v>
      </c>
    </row>
    <row r="45" spans="1:11" s="26" customFormat="1" ht="36" customHeight="1" x14ac:dyDescent="0.25">
      <c r="A45" s="71">
        <v>17</v>
      </c>
      <c r="B45" s="16" t="s">
        <v>75</v>
      </c>
      <c r="C45" s="7">
        <v>35000</v>
      </c>
      <c r="D45" s="7">
        <v>39000</v>
      </c>
      <c r="E45" s="7">
        <f t="shared" si="5"/>
        <v>22275.5936</v>
      </c>
      <c r="F45" s="7"/>
      <c r="G45" s="7"/>
      <c r="H45" s="64"/>
      <c r="I45" s="64">
        <v>22275.5936</v>
      </c>
      <c r="J45" s="8">
        <f t="shared" si="2"/>
        <v>0.63644553142857141</v>
      </c>
      <c r="K45" s="8">
        <f t="shared" si="3"/>
        <v>0.57116906666666667</v>
      </c>
    </row>
    <row r="46" spans="1:11" s="26" customFormat="1" ht="24.75" customHeight="1" x14ac:dyDescent="0.25">
      <c r="A46" s="71">
        <v>18</v>
      </c>
      <c r="B46" s="16" t="s">
        <v>76</v>
      </c>
      <c r="C46" s="7"/>
      <c r="D46" s="7"/>
      <c r="E46" s="7">
        <f t="shared" si="5"/>
        <v>0</v>
      </c>
      <c r="F46" s="7"/>
      <c r="G46" s="7"/>
      <c r="H46" s="64"/>
      <c r="I46" s="64"/>
      <c r="J46" s="8"/>
      <c r="K46" s="8"/>
    </row>
    <row r="47" spans="1:11" s="26" customFormat="1" ht="24.75" customHeight="1" x14ac:dyDescent="0.25">
      <c r="A47" s="71">
        <v>19</v>
      </c>
      <c r="B47" s="16" t="s">
        <v>54</v>
      </c>
      <c r="C47" s="7">
        <v>13000</v>
      </c>
      <c r="D47" s="7">
        <v>13000</v>
      </c>
      <c r="E47" s="7">
        <f t="shared" si="5"/>
        <v>10483.914529</v>
      </c>
      <c r="F47" s="7"/>
      <c r="G47" s="7">
        <v>10483.914529</v>
      </c>
      <c r="H47" s="64"/>
      <c r="I47" s="64"/>
      <c r="J47" s="8">
        <f t="shared" si="2"/>
        <v>0.80645496376923076</v>
      </c>
      <c r="K47" s="8">
        <f t="shared" si="3"/>
        <v>0.80645496376923076</v>
      </c>
    </row>
    <row r="48" spans="1:11" s="26" customFormat="1" ht="30.75" customHeight="1" x14ac:dyDescent="0.25">
      <c r="A48" s="71">
        <v>20</v>
      </c>
      <c r="B48" s="16" t="s">
        <v>184</v>
      </c>
      <c r="C48" s="7"/>
      <c r="D48" s="7"/>
      <c r="E48" s="7">
        <f t="shared" si="5"/>
        <v>1637.595139</v>
      </c>
      <c r="F48" s="7"/>
      <c r="G48" s="7">
        <v>1637.595139</v>
      </c>
      <c r="H48" s="64"/>
      <c r="I48" s="64"/>
      <c r="J48" s="8"/>
      <c r="K48" s="8"/>
    </row>
    <row r="49" spans="1:12" s="26" customFormat="1" ht="24.75" customHeight="1" x14ac:dyDescent="0.25">
      <c r="A49" s="71" t="s">
        <v>56</v>
      </c>
      <c r="B49" s="16" t="s">
        <v>77</v>
      </c>
      <c r="C49" s="31"/>
      <c r="D49" s="31"/>
      <c r="E49" s="7">
        <f t="shared" si="5"/>
        <v>0</v>
      </c>
      <c r="F49" s="31"/>
      <c r="G49" s="31"/>
      <c r="H49" s="101"/>
      <c r="I49" s="101"/>
      <c r="J49" s="8"/>
      <c r="K49" s="8"/>
    </row>
    <row r="50" spans="1:12" s="26" customFormat="1" ht="24.75" customHeight="1" x14ac:dyDescent="0.25">
      <c r="A50" s="71" t="s">
        <v>60</v>
      </c>
      <c r="B50" s="14" t="s">
        <v>57</v>
      </c>
      <c r="C50" s="7">
        <v>5900000</v>
      </c>
      <c r="D50" s="7">
        <v>5900000</v>
      </c>
      <c r="E50" s="21">
        <f>SUM(E52:E58)</f>
        <v>5983057.6091740001</v>
      </c>
      <c r="F50" s="21">
        <f>SUM(F52:F58)</f>
        <v>5983002.9141740007</v>
      </c>
      <c r="G50" s="7">
        <f>SUM(G52:G59)</f>
        <v>54.695</v>
      </c>
      <c r="H50" s="64">
        <f t="shared" ref="H50:I50" si="7">SUM(H52:H59)</f>
        <v>0</v>
      </c>
      <c r="I50" s="64">
        <f t="shared" si="7"/>
        <v>0</v>
      </c>
      <c r="J50" s="8">
        <f t="shared" si="2"/>
        <v>1.0140775608769492</v>
      </c>
      <c r="K50" s="8">
        <f t="shared" si="3"/>
        <v>1.0140775608769492</v>
      </c>
      <c r="L50" s="27"/>
    </row>
    <row r="51" spans="1:12" s="26" customFormat="1" ht="31.5" customHeight="1" x14ac:dyDescent="0.25">
      <c r="A51" s="71" t="s">
        <v>185</v>
      </c>
      <c r="B51" s="14" t="s">
        <v>186</v>
      </c>
      <c r="C51" s="7">
        <f>SUM(C52:C59)</f>
        <v>3100000</v>
      </c>
      <c r="D51" s="7">
        <v>3400000</v>
      </c>
      <c r="E51" s="7">
        <f>SUM(E52:E59)</f>
        <v>2538195.509174</v>
      </c>
      <c r="F51" s="7">
        <f>SUM(F52:F59)</f>
        <v>2538140.8141740006</v>
      </c>
      <c r="G51" s="7"/>
      <c r="H51" s="64"/>
      <c r="I51" s="64"/>
      <c r="J51" s="8">
        <f t="shared" si="2"/>
        <v>0.81877274489483876</v>
      </c>
      <c r="K51" s="8">
        <f t="shared" si="3"/>
        <v>0.74652809093352945</v>
      </c>
      <c r="L51" s="27"/>
    </row>
    <row r="52" spans="1:12" s="26" customFormat="1" ht="24.75" customHeight="1" x14ac:dyDescent="0.25">
      <c r="A52" s="73">
        <v>1</v>
      </c>
      <c r="B52" s="18" t="s">
        <v>78</v>
      </c>
      <c r="C52" s="74">
        <v>280000</v>
      </c>
      <c r="D52" s="74"/>
      <c r="E52" s="74">
        <f t="shared" si="5"/>
        <v>63360.367544000001</v>
      </c>
      <c r="F52" s="74">
        <v>63360.367544000001</v>
      </c>
      <c r="G52" s="74"/>
      <c r="H52" s="99"/>
      <c r="I52" s="99"/>
      <c r="J52" s="9"/>
      <c r="K52" s="9"/>
    </row>
    <row r="53" spans="1:12" s="26" customFormat="1" ht="24.75" customHeight="1" x14ac:dyDescent="0.25">
      <c r="A53" s="73">
        <v>2</v>
      </c>
      <c r="B53" s="18" t="s">
        <v>79</v>
      </c>
      <c r="C53" s="74">
        <v>281700</v>
      </c>
      <c r="D53" s="74"/>
      <c r="E53" s="74">
        <f t="shared" si="5"/>
        <v>652786.47126999998</v>
      </c>
      <c r="F53" s="74">
        <v>652786.47126999998</v>
      </c>
      <c r="G53" s="74"/>
      <c r="H53" s="99"/>
      <c r="I53" s="99"/>
      <c r="J53" s="9"/>
      <c r="K53" s="9"/>
    </row>
    <row r="54" spans="1:12" s="26" customFormat="1" ht="24.75" customHeight="1" x14ac:dyDescent="0.25">
      <c r="A54" s="73">
        <v>3</v>
      </c>
      <c r="B54" s="18" t="s">
        <v>80</v>
      </c>
      <c r="C54" s="74">
        <v>2000</v>
      </c>
      <c r="D54" s="74"/>
      <c r="E54" s="74">
        <f t="shared" si="5"/>
        <v>3052.3761410000002</v>
      </c>
      <c r="F54" s="74">
        <v>3052.3761410000002</v>
      </c>
      <c r="G54" s="74"/>
      <c r="H54" s="99"/>
      <c r="I54" s="99"/>
      <c r="J54" s="9"/>
      <c r="K54" s="9"/>
    </row>
    <row r="55" spans="1:12" s="26" customFormat="1" ht="24.75" customHeight="1" x14ac:dyDescent="0.25">
      <c r="A55" s="73">
        <v>4</v>
      </c>
      <c r="B55" s="18" t="s">
        <v>58</v>
      </c>
      <c r="C55" s="74">
        <v>2500000</v>
      </c>
      <c r="D55" s="74"/>
      <c r="E55" s="74">
        <f t="shared" si="5"/>
        <v>5195839.3113759998</v>
      </c>
      <c r="F55" s="74">
        <v>5195839.3113759998</v>
      </c>
      <c r="G55" s="74"/>
      <c r="H55" s="99"/>
      <c r="I55" s="99"/>
      <c r="J55" s="9"/>
      <c r="K55" s="9"/>
    </row>
    <row r="56" spans="1:12" s="26" customFormat="1" ht="24.75" customHeight="1" x14ac:dyDescent="0.25">
      <c r="A56" s="73"/>
      <c r="B56" s="18" t="s">
        <v>187</v>
      </c>
      <c r="C56" s="74"/>
      <c r="D56" s="74"/>
      <c r="E56" s="74">
        <f t="shared" si="5"/>
        <v>16.102667</v>
      </c>
      <c r="F56" s="74">
        <v>16.102667</v>
      </c>
      <c r="G56" s="74"/>
      <c r="H56" s="99"/>
      <c r="I56" s="99"/>
      <c r="J56" s="9"/>
      <c r="K56" s="9"/>
    </row>
    <row r="57" spans="1:12" s="26" customFormat="1" ht="24.75" customHeight="1" x14ac:dyDescent="0.25">
      <c r="A57" s="73">
        <v>5</v>
      </c>
      <c r="B57" s="15" t="s">
        <v>59</v>
      </c>
      <c r="C57" s="74">
        <v>36300</v>
      </c>
      <c r="D57" s="74"/>
      <c r="E57" s="74">
        <f t="shared" si="5"/>
        <v>59906.873800000001</v>
      </c>
      <c r="F57" s="74">
        <v>59906.873800000001</v>
      </c>
      <c r="G57" s="74"/>
      <c r="H57" s="99"/>
      <c r="I57" s="99"/>
      <c r="J57" s="9"/>
      <c r="K57" s="9"/>
      <c r="L57" s="27"/>
    </row>
    <row r="58" spans="1:12" s="26" customFormat="1" ht="24.75" customHeight="1" x14ac:dyDescent="0.25">
      <c r="A58" s="73">
        <v>6</v>
      </c>
      <c r="B58" s="15" t="s">
        <v>36</v>
      </c>
      <c r="C58" s="74"/>
      <c r="D58" s="74"/>
      <c r="E58" s="74">
        <f t="shared" si="5"/>
        <v>8096.1063759999997</v>
      </c>
      <c r="F58" s="74">
        <v>8041.411376</v>
      </c>
      <c r="G58" s="74">
        <v>54.695</v>
      </c>
      <c r="H58" s="99"/>
      <c r="I58" s="99"/>
      <c r="J58" s="9"/>
      <c r="K58" s="9"/>
    </row>
    <row r="59" spans="1:12" s="26" customFormat="1" ht="24.75" customHeight="1" x14ac:dyDescent="0.25">
      <c r="A59" s="73">
        <v>7</v>
      </c>
      <c r="B59" s="15" t="s">
        <v>153</v>
      </c>
      <c r="C59" s="74"/>
      <c r="D59" s="74"/>
      <c r="E59" s="74">
        <f t="shared" si="5"/>
        <v>-3444862.1</v>
      </c>
      <c r="F59" s="74">
        <v>-3444862.1</v>
      </c>
      <c r="G59" s="74"/>
      <c r="H59" s="99"/>
      <c r="I59" s="99"/>
      <c r="J59" s="9"/>
      <c r="K59" s="9"/>
    </row>
    <row r="60" spans="1:12" s="28" customFormat="1" ht="24.75" customHeight="1" x14ac:dyDescent="0.25">
      <c r="A60" s="71" t="s">
        <v>61</v>
      </c>
      <c r="B60" s="16" t="s">
        <v>81</v>
      </c>
      <c r="C60" s="7"/>
      <c r="D60" s="7"/>
      <c r="E60" s="7">
        <f t="shared" si="5"/>
        <v>0</v>
      </c>
      <c r="F60" s="7"/>
      <c r="G60" s="7"/>
      <c r="H60" s="64"/>
      <c r="I60" s="64"/>
      <c r="J60" s="8"/>
      <c r="K60" s="8"/>
    </row>
    <row r="61" spans="1:12" s="28" customFormat="1" ht="36" customHeight="1" x14ac:dyDescent="0.25">
      <c r="A61" s="71" t="s">
        <v>62</v>
      </c>
      <c r="B61" s="16" t="s">
        <v>154</v>
      </c>
      <c r="C61" s="7"/>
      <c r="D61" s="7">
        <v>53675</v>
      </c>
      <c r="E61" s="7">
        <f t="shared" si="5"/>
        <v>49664.575558999997</v>
      </c>
      <c r="F61" s="7">
        <f>F62+F63</f>
        <v>0</v>
      </c>
      <c r="G61" s="7">
        <f t="shared" ref="G61:I61" si="8">G62+G63</f>
        <v>0</v>
      </c>
      <c r="H61" s="64">
        <f t="shared" si="8"/>
        <v>663.04</v>
      </c>
      <c r="I61" s="64">
        <f t="shared" si="8"/>
        <v>49001.535558999996</v>
      </c>
      <c r="J61" s="8"/>
      <c r="K61" s="8"/>
    </row>
    <row r="62" spans="1:12" s="26" customFormat="1" ht="36" customHeight="1" x14ac:dyDescent="0.25">
      <c r="A62" s="73">
        <v>1</v>
      </c>
      <c r="B62" s="15" t="s">
        <v>82</v>
      </c>
      <c r="C62" s="74"/>
      <c r="D62" s="74"/>
      <c r="E62" s="74">
        <f t="shared" si="5"/>
        <v>40381.705783999998</v>
      </c>
      <c r="F62" s="74"/>
      <c r="G62" s="74"/>
      <c r="H62" s="99">
        <v>203.04</v>
      </c>
      <c r="I62" s="99">
        <v>40178.665783999997</v>
      </c>
      <c r="J62" s="9"/>
      <c r="K62" s="9"/>
    </row>
    <row r="63" spans="1:12" s="26" customFormat="1" ht="36" customHeight="1" x14ac:dyDescent="0.25">
      <c r="A63" s="73">
        <v>2</v>
      </c>
      <c r="B63" s="15" t="s">
        <v>83</v>
      </c>
      <c r="C63" s="74"/>
      <c r="D63" s="74"/>
      <c r="E63" s="74">
        <f t="shared" si="5"/>
        <v>9282.8697749999992</v>
      </c>
      <c r="F63" s="74"/>
      <c r="G63" s="74"/>
      <c r="H63" s="99">
        <v>460</v>
      </c>
      <c r="I63" s="99">
        <v>8822.8697749999992</v>
      </c>
      <c r="J63" s="9"/>
      <c r="K63" s="9"/>
    </row>
    <row r="64" spans="1:12" s="28" customFormat="1" ht="36" customHeight="1" x14ac:dyDescent="0.25">
      <c r="A64" s="71" t="s">
        <v>84</v>
      </c>
      <c r="B64" s="16" t="s">
        <v>85</v>
      </c>
      <c r="C64" s="7"/>
      <c r="D64" s="7"/>
      <c r="E64" s="7">
        <f t="shared" si="5"/>
        <v>0</v>
      </c>
      <c r="F64" s="7">
        <f>SUM(F65:F67)</f>
        <v>0</v>
      </c>
      <c r="G64" s="7">
        <f t="shared" ref="G64:I64" si="9">SUM(G65:G67)</f>
        <v>0</v>
      </c>
      <c r="H64" s="64">
        <f t="shared" si="9"/>
        <v>0</v>
      </c>
      <c r="I64" s="64">
        <f t="shared" si="9"/>
        <v>0</v>
      </c>
      <c r="J64" s="8"/>
      <c r="K64" s="8"/>
    </row>
    <row r="65" spans="1:13" s="26" customFormat="1" ht="36" customHeight="1" x14ac:dyDescent="0.25">
      <c r="A65" s="73">
        <v>1</v>
      </c>
      <c r="B65" s="15" t="s">
        <v>86</v>
      </c>
      <c r="C65" s="74"/>
      <c r="D65" s="74"/>
      <c r="E65" s="74">
        <f t="shared" si="5"/>
        <v>0</v>
      </c>
      <c r="F65" s="74"/>
      <c r="G65" s="74"/>
      <c r="H65" s="99"/>
      <c r="I65" s="99"/>
      <c r="J65" s="9"/>
      <c r="K65" s="9"/>
    </row>
    <row r="66" spans="1:13" s="26" customFormat="1" ht="27.75" customHeight="1" x14ac:dyDescent="0.25">
      <c r="A66" s="73">
        <v>2</v>
      </c>
      <c r="B66" s="15" t="s">
        <v>87</v>
      </c>
      <c r="C66" s="74"/>
      <c r="D66" s="74"/>
      <c r="E66" s="74">
        <f t="shared" si="5"/>
        <v>0</v>
      </c>
      <c r="F66" s="74"/>
      <c r="G66" s="74"/>
      <c r="H66" s="99"/>
      <c r="I66" s="99"/>
      <c r="J66" s="9"/>
      <c r="K66" s="9"/>
    </row>
    <row r="67" spans="1:13" s="26" customFormat="1" ht="24.75" customHeight="1" x14ac:dyDescent="0.25">
      <c r="A67" s="73">
        <v>3</v>
      </c>
      <c r="B67" s="15" t="s">
        <v>88</v>
      </c>
      <c r="C67" s="74"/>
      <c r="D67" s="74"/>
      <c r="E67" s="74">
        <f t="shared" si="5"/>
        <v>0</v>
      </c>
      <c r="F67" s="74"/>
      <c r="G67" s="74"/>
      <c r="H67" s="99"/>
      <c r="I67" s="99"/>
      <c r="J67" s="9"/>
      <c r="K67" s="9"/>
    </row>
    <row r="68" spans="1:13" s="28" customFormat="1" ht="36" customHeight="1" x14ac:dyDescent="0.25">
      <c r="A68" s="71" t="s">
        <v>12</v>
      </c>
      <c r="B68" s="16" t="s">
        <v>94</v>
      </c>
      <c r="C68" s="7">
        <f>C69+C72</f>
        <v>165100</v>
      </c>
      <c r="D68" s="7">
        <f>D69+D72</f>
        <v>165000</v>
      </c>
      <c r="E68" s="7">
        <f t="shared" si="5"/>
        <v>26193</v>
      </c>
      <c r="F68" s="7">
        <f>F69+F72</f>
        <v>0</v>
      </c>
      <c r="G68" s="7">
        <f>G69+G72</f>
        <v>26193</v>
      </c>
      <c r="H68" s="64">
        <f t="shared" ref="H68:I68" si="10">H69+H72</f>
        <v>0</v>
      </c>
      <c r="I68" s="64">
        <f t="shared" si="10"/>
        <v>0</v>
      </c>
      <c r="J68" s="8"/>
      <c r="K68" s="8"/>
    </row>
    <row r="69" spans="1:13" s="28" customFormat="1" ht="24.75" customHeight="1" x14ac:dyDescent="0.25">
      <c r="A69" s="71" t="s">
        <v>16</v>
      </c>
      <c r="B69" s="16" t="s">
        <v>89</v>
      </c>
      <c r="C69" s="7">
        <v>48000</v>
      </c>
      <c r="D69" s="7">
        <v>48000</v>
      </c>
      <c r="E69" s="7">
        <f t="shared" si="5"/>
        <v>26193</v>
      </c>
      <c r="F69" s="7"/>
      <c r="G69" s="7">
        <f>G70+G71</f>
        <v>26193</v>
      </c>
      <c r="H69" s="64"/>
      <c r="I69" s="64"/>
      <c r="J69" s="8"/>
      <c r="K69" s="8"/>
    </row>
    <row r="70" spans="1:13" s="26" customFormat="1" ht="24.75" customHeight="1" x14ac:dyDescent="0.25">
      <c r="A70" s="73">
        <v>1</v>
      </c>
      <c r="B70" s="15" t="s">
        <v>90</v>
      </c>
      <c r="C70" s="74"/>
      <c r="D70" s="74"/>
      <c r="E70" s="7">
        <f t="shared" si="5"/>
        <v>0</v>
      </c>
      <c r="F70" s="74"/>
      <c r="G70" s="74"/>
      <c r="H70" s="99"/>
      <c r="I70" s="99"/>
      <c r="J70" s="8"/>
      <c r="K70" s="8"/>
    </row>
    <row r="71" spans="1:13" s="26" customFormat="1" ht="27.75" customHeight="1" x14ac:dyDescent="0.25">
      <c r="A71" s="73">
        <v>2</v>
      </c>
      <c r="B71" s="15" t="s">
        <v>91</v>
      </c>
      <c r="C71" s="74"/>
      <c r="D71" s="74"/>
      <c r="E71" s="7">
        <f t="shared" si="5"/>
        <v>26193</v>
      </c>
      <c r="F71" s="74"/>
      <c r="G71" s="74">
        <v>26193</v>
      </c>
      <c r="H71" s="99"/>
      <c r="I71" s="99"/>
      <c r="J71" s="8"/>
      <c r="K71" s="8"/>
    </row>
    <row r="72" spans="1:13" s="28" customFormat="1" ht="24.75" customHeight="1" x14ac:dyDescent="0.25">
      <c r="A72" s="71" t="s">
        <v>56</v>
      </c>
      <c r="B72" s="16" t="s">
        <v>92</v>
      </c>
      <c r="C72" s="7">
        <v>117100</v>
      </c>
      <c r="D72" s="7">
        <v>117000</v>
      </c>
      <c r="E72" s="7">
        <f t="shared" si="5"/>
        <v>0</v>
      </c>
      <c r="F72" s="7">
        <f>F73+F74</f>
        <v>0</v>
      </c>
      <c r="G72" s="7">
        <f t="shared" ref="G72:H72" si="11">G73+G74</f>
        <v>0</v>
      </c>
      <c r="H72" s="64">
        <f t="shared" si="11"/>
        <v>0</v>
      </c>
      <c r="I72" s="64"/>
      <c r="J72" s="8"/>
      <c r="K72" s="8"/>
    </row>
    <row r="73" spans="1:13" s="26" customFormat="1" ht="24.75" customHeight="1" x14ac:dyDescent="0.25">
      <c r="A73" s="73">
        <v>1</v>
      </c>
      <c r="B73" s="15" t="s">
        <v>90</v>
      </c>
      <c r="C73" s="74"/>
      <c r="D73" s="74"/>
      <c r="E73" s="74">
        <f t="shared" si="5"/>
        <v>0</v>
      </c>
      <c r="F73" s="74"/>
      <c r="G73" s="74"/>
      <c r="H73" s="99"/>
      <c r="I73" s="99"/>
      <c r="J73" s="9"/>
      <c r="K73" s="9"/>
    </row>
    <row r="74" spans="1:13" s="26" customFormat="1" ht="27.75" customHeight="1" x14ac:dyDescent="0.25">
      <c r="A74" s="73">
        <v>2</v>
      </c>
      <c r="B74" s="15" t="s">
        <v>91</v>
      </c>
      <c r="C74" s="74"/>
      <c r="D74" s="74"/>
      <c r="E74" s="74">
        <f t="shared" si="5"/>
        <v>0</v>
      </c>
      <c r="F74" s="74"/>
      <c r="G74" s="74"/>
      <c r="H74" s="99"/>
      <c r="I74" s="99"/>
      <c r="J74" s="9"/>
      <c r="K74" s="9"/>
    </row>
    <row r="75" spans="1:13" s="28" customFormat="1" ht="27.75" customHeight="1" x14ac:dyDescent="0.25">
      <c r="A75" s="71" t="s">
        <v>63</v>
      </c>
      <c r="B75" s="16" t="s">
        <v>93</v>
      </c>
      <c r="C75" s="7">
        <f>C76+C81</f>
        <v>8775364</v>
      </c>
      <c r="D75" s="7">
        <f>D76+D81</f>
        <v>8775364</v>
      </c>
      <c r="E75" s="7">
        <f t="shared" si="5"/>
        <v>17734423.211307999</v>
      </c>
      <c r="F75" s="7">
        <f>F76+F81</f>
        <v>2981</v>
      </c>
      <c r="G75" s="7">
        <f>G76+G81</f>
        <v>9110305.5483790003</v>
      </c>
      <c r="H75" s="64">
        <f>H76+H81</f>
        <v>6243257.5422</v>
      </c>
      <c r="I75" s="64">
        <f>I76+I81</f>
        <v>2377879.1207289998</v>
      </c>
      <c r="J75" s="8"/>
      <c r="K75" s="8"/>
    </row>
    <row r="76" spans="1:13" s="28" customFormat="1" ht="24.75" customHeight="1" x14ac:dyDescent="0.25">
      <c r="A76" s="71" t="s">
        <v>16</v>
      </c>
      <c r="B76" s="16" t="s">
        <v>95</v>
      </c>
      <c r="C76" s="7">
        <f>C77+C78</f>
        <v>8775364</v>
      </c>
      <c r="D76" s="7">
        <f>D77+D78</f>
        <v>8775364</v>
      </c>
      <c r="E76" s="7">
        <f>SUM(G76:I76)</f>
        <v>17729368.921108</v>
      </c>
      <c r="F76" s="7"/>
      <c r="G76" s="7">
        <f>SUM(G77:G78)</f>
        <v>9110305.5483790003</v>
      </c>
      <c r="H76" s="64">
        <f t="shared" ref="H76:I76" si="12">SUM(H77:H78)</f>
        <v>6241184.2520000003</v>
      </c>
      <c r="I76" s="64">
        <f t="shared" si="12"/>
        <v>2377879.1207289998</v>
      </c>
      <c r="J76" s="8"/>
      <c r="K76" s="8"/>
      <c r="L76" s="79">
        <f>G76/C76</f>
        <v>1.0381683937417296</v>
      </c>
      <c r="M76" s="95">
        <f>E76-17729368.921484</f>
        <v>-3.7600100040435791E-4</v>
      </c>
    </row>
    <row r="77" spans="1:13" s="26" customFormat="1" ht="24.75" customHeight="1" x14ac:dyDescent="0.25">
      <c r="A77" s="73">
        <v>1</v>
      </c>
      <c r="B77" s="15" t="s">
        <v>65</v>
      </c>
      <c r="C77" s="74">
        <v>5719191</v>
      </c>
      <c r="D77" s="74">
        <v>5719191</v>
      </c>
      <c r="E77" s="74">
        <f t="shared" si="5"/>
        <v>11647747.547999999</v>
      </c>
      <c r="F77" s="74"/>
      <c r="G77" s="74">
        <v>6073471</v>
      </c>
      <c r="H77" s="99">
        <v>4627288.88</v>
      </c>
      <c r="I77" s="99">
        <v>946987.66799999995</v>
      </c>
      <c r="J77" s="9"/>
      <c r="K77" s="9"/>
      <c r="L77" s="79">
        <f t="shared" ref="L77:L80" si="13">G77/C77</f>
        <v>1.061945824155899</v>
      </c>
    </row>
    <row r="78" spans="1:13" s="26" customFormat="1" ht="24.75" customHeight="1" x14ac:dyDescent="0.25">
      <c r="A78" s="73">
        <v>2</v>
      </c>
      <c r="B78" s="15" t="s">
        <v>96</v>
      </c>
      <c r="C78" s="74">
        <f>C79+C80</f>
        <v>3056173</v>
      </c>
      <c r="D78" s="74">
        <f>C78</f>
        <v>3056173</v>
      </c>
      <c r="E78" s="74">
        <f t="shared" si="5"/>
        <v>6081621.3731079996</v>
      </c>
      <c r="F78" s="74"/>
      <c r="G78" s="74">
        <f>G79+G80</f>
        <v>3036834.5483789998</v>
      </c>
      <c r="H78" s="99">
        <f t="shared" ref="H78:I78" si="14">H79+H80</f>
        <v>1613895.372</v>
      </c>
      <c r="I78" s="99">
        <f t="shared" si="14"/>
        <v>1430891.452729</v>
      </c>
      <c r="J78" s="9"/>
      <c r="K78" s="9"/>
      <c r="L78" s="79">
        <f t="shared" si="13"/>
        <v>0.99367233084612683</v>
      </c>
    </row>
    <row r="79" spans="1:13" s="26" customFormat="1" ht="36" customHeight="1" x14ac:dyDescent="0.25">
      <c r="A79" s="73" t="s">
        <v>32</v>
      </c>
      <c r="B79" s="15" t="s">
        <v>97</v>
      </c>
      <c r="C79" s="74">
        <v>2717833</v>
      </c>
      <c r="D79" s="74">
        <f>C79</f>
        <v>2717833</v>
      </c>
      <c r="E79" s="74">
        <f t="shared" si="5"/>
        <v>5954695.8247289993</v>
      </c>
      <c r="F79" s="74"/>
      <c r="G79" s="74">
        <v>2909909</v>
      </c>
      <c r="H79" s="99">
        <v>1613895.372</v>
      </c>
      <c r="I79" s="99">
        <v>1430891.452729</v>
      </c>
      <c r="J79" s="9"/>
      <c r="K79" s="9"/>
      <c r="L79" s="79">
        <f t="shared" si="13"/>
        <v>1.0706724806123114</v>
      </c>
    </row>
    <row r="80" spans="1:13" s="26" customFormat="1" ht="36" customHeight="1" x14ac:dyDescent="0.25">
      <c r="A80" s="73" t="s">
        <v>33</v>
      </c>
      <c r="B80" s="15" t="s">
        <v>98</v>
      </c>
      <c r="C80" s="74">
        <v>338340</v>
      </c>
      <c r="D80" s="74">
        <f>C80</f>
        <v>338340</v>
      </c>
      <c r="E80" s="74">
        <f t="shared" si="5"/>
        <v>126925.548379</v>
      </c>
      <c r="F80" s="74"/>
      <c r="G80" s="74">
        <v>126925.548379</v>
      </c>
      <c r="H80" s="99"/>
      <c r="I80" s="99"/>
      <c r="J80" s="9"/>
      <c r="K80" s="9"/>
      <c r="L80" s="79">
        <f t="shared" si="13"/>
        <v>0.37514201211503223</v>
      </c>
    </row>
    <row r="81" spans="1:11" s="28" customFormat="1" ht="24.75" customHeight="1" x14ac:dyDescent="0.25">
      <c r="A81" s="71" t="s">
        <v>56</v>
      </c>
      <c r="B81" s="16" t="s">
        <v>99</v>
      </c>
      <c r="C81" s="7"/>
      <c r="D81" s="7"/>
      <c r="E81" s="7">
        <f t="shared" si="5"/>
        <v>5054.2901999999995</v>
      </c>
      <c r="F81" s="7">
        <v>2981</v>
      </c>
      <c r="G81" s="7"/>
      <c r="H81" s="64">
        <v>2073.2901999999999</v>
      </c>
      <c r="I81" s="64"/>
      <c r="J81" s="8"/>
      <c r="K81" s="8"/>
    </row>
    <row r="82" spans="1:11" s="28" customFormat="1" ht="24.75" customHeight="1" x14ac:dyDescent="0.25">
      <c r="A82" s="71" t="s">
        <v>64</v>
      </c>
      <c r="B82" s="16" t="s">
        <v>100</v>
      </c>
      <c r="C82" s="7"/>
      <c r="D82" s="7"/>
      <c r="E82" s="7">
        <f t="shared" si="5"/>
        <v>4803784.6764779994</v>
      </c>
      <c r="F82" s="7"/>
      <c r="G82" s="7">
        <v>3887641.9276780002</v>
      </c>
      <c r="H82" s="64">
        <v>695591.64</v>
      </c>
      <c r="I82" s="64">
        <v>220551.10879999999</v>
      </c>
      <c r="J82" s="8"/>
      <c r="K82" s="8"/>
    </row>
    <row r="83" spans="1:11" s="28" customFormat="1" ht="24.75" customHeight="1" x14ac:dyDescent="0.25">
      <c r="A83" s="71" t="s">
        <v>66</v>
      </c>
      <c r="B83" s="16" t="s">
        <v>101</v>
      </c>
      <c r="C83" s="7"/>
      <c r="D83" s="7"/>
      <c r="E83" s="7">
        <f t="shared" si="5"/>
        <v>51169.594717999993</v>
      </c>
      <c r="F83" s="7"/>
      <c r="G83" s="7">
        <v>22806.861917999999</v>
      </c>
      <c r="H83" s="64">
        <v>9375.8268000000007</v>
      </c>
      <c r="I83" s="64">
        <v>18986.905999999999</v>
      </c>
      <c r="J83" s="8"/>
      <c r="K83" s="8"/>
    </row>
    <row r="84" spans="1:11" s="40" customFormat="1" ht="26.25" customHeight="1" x14ac:dyDescent="0.25">
      <c r="C84" s="41"/>
      <c r="D84" s="41"/>
      <c r="E84" s="41"/>
      <c r="F84" s="109" t="s">
        <v>201</v>
      </c>
      <c r="G84" s="109"/>
      <c r="H84" s="109"/>
      <c r="I84" s="109"/>
      <c r="J84" s="109"/>
      <c r="K84" s="109"/>
    </row>
    <row r="85" spans="1:11" s="26" customFormat="1" x14ac:dyDescent="0.25">
      <c r="C85" s="78"/>
      <c r="D85" s="78"/>
      <c r="E85" s="27"/>
      <c r="H85" s="102"/>
      <c r="I85" s="102"/>
    </row>
    <row r="86" spans="1:11" s="26" customFormat="1" x14ac:dyDescent="0.25">
      <c r="C86" s="78"/>
      <c r="D86" s="78"/>
      <c r="E86" s="27"/>
      <c r="H86" s="102"/>
      <c r="I86" s="102"/>
    </row>
    <row r="87" spans="1:11" s="26" customFormat="1" x14ac:dyDescent="0.25">
      <c r="C87" s="78"/>
      <c r="D87" s="78"/>
      <c r="E87" s="27"/>
      <c r="H87" s="102"/>
      <c r="I87" s="102"/>
    </row>
    <row r="88" spans="1:11" s="26" customFormat="1" x14ac:dyDescent="0.25">
      <c r="C88" s="78"/>
      <c r="D88" s="78"/>
      <c r="E88" s="27"/>
      <c r="H88" s="102"/>
      <c r="I88" s="102"/>
    </row>
    <row r="89" spans="1:11" s="26" customFormat="1" x14ac:dyDescent="0.25">
      <c r="C89" s="78"/>
      <c r="D89" s="78"/>
      <c r="E89" s="27"/>
      <c r="H89" s="102"/>
      <c r="I89" s="102"/>
    </row>
    <row r="90" spans="1:11" s="26" customFormat="1" x14ac:dyDescent="0.25">
      <c r="H90" s="102"/>
      <c r="I90" s="102"/>
    </row>
    <row r="91" spans="1:11" s="26" customFormat="1" x14ac:dyDescent="0.25">
      <c r="H91" s="102"/>
      <c r="I91" s="102"/>
    </row>
    <row r="92" spans="1:11" s="26" customFormat="1" x14ac:dyDescent="0.25">
      <c r="H92" s="102"/>
      <c r="I92" s="102"/>
    </row>
    <row r="93" spans="1:11" s="26" customFormat="1" x14ac:dyDescent="0.25">
      <c r="H93" s="102"/>
      <c r="I93" s="102"/>
    </row>
  </sheetData>
  <mergeCells count="20">
    <mergeCell ref="I1:K1"/>
    <mergeCell ref="A2:K2"/>
    <mergeCell ref="I4:K4"/>
    <mergeCell ref="A5:A7"/>
    <mergeCell ref="B5:B7"/>
    <mergeCell ref="C5:D5"/>
    <mergeCell ref="E5:E7"/>
    <mergeCell ref="F5:I5"/>
    <mergeCell ref="J5:K5"/>
    <mergeCell ref="K6:K7"/>
    <mergeCell ref="J6:J7"/>
    <mergeCell ref="A3:K3"/>
    <mergeCell ref="F84:K84"/>
    <mergeCell ref="C36:C37"/>
    <mergeCell ref="H6:H7"/>
    <mergeCell ref="I6:I7"/>
    <mergeCell ref="C6:C7"/>
    <mergeCell ref="D6:D7"/>
    <mergeCell ref="F6:F7"/>
    <mergeCell ref="G6:G7"/>
  </mergeCells>
  <printOptions horizontalCentered="1"/>
  <pageMargins left="0" right="0" top="0.48" bottom="0.51" header="0.3" footer="0.2"/>
  <pageSetup paperSize="9" scale="92" orientation="landscape" r:id="rId1"/>
  <headerFooter>
    <oddFooter>&amp;C&amp;P/&amp;N (Biểu 02/QTNS)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M8" sqref="M8"/>
    </sheetView>
  </sheetViews>
  <sheetFormatPr defaultColWidth="9.140625" defaultRowHeight="26.25" customHeight="1" x14ac:dyDescent="0.25"/>
  <cols>
    <col min="1" max="1" width="4.85546875" style="12" customWidth="1"/>
    <col min="2" max="2" width="43.5703125" style="10" customWidth="1"/>
    <col min="3" max="3" width="13" style="10" customWidth="1"/>
    <col min="4" max="4" width="11.140625" style="10" customWidth="1"/>
    <col min="5" max="5" width="12" style="10" customWidth="1"/>
    <col min="6" max="6" width="12.140625" style="10" customWidth="1"/>
    <col min="7" max="7" width="11" style="10" customWidth="1"/>
    <col min="8" max="8" width="10.5703125" style="10" customWidth="1"/>
    <col min="9" max="9" width="11.28515625" style="13" customWidth="1"/>
    <col min="10" max="10" width="10.5703125" style="13" customWidth="1"/>
    <col min="11" max="11" width="17.7109375" style="32" bestFit="1" customWidth="1"/>
    <col min="12" max="12" width="13.140625" style="10" bestFit="1" customWidth="1"/>
    <col min="13" max="16384" width="9.140625" style="10"/>
  </cols>
  <sheetData>
    <row r="1" spans="1:12" ht="19.5" customHeight="1" x14ac:dyDescent="0.25">
      <c r="I1" s="119" t="s">
        <v>158</v>
      </c>
      <c r="J1" s="119"/>
    </row>
    <row r="2" spans="1:12" ht="20.25" customHeight="1" x14ac:dyDescent="0.25">
      <c r="A2" s="104" t="s">
        <v>198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2" ht="16.5" customHeight="1" x14ac:dyDescent="0.3">
      <c r="A3" s="122" t="s">
        <v>202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2" s="11" customFormat="1" ht="16.149999999999999" customHeight="1" x14ac:dyDescent="0.25">
      <c r="A4" s="51"/>
      <c r="I4" s="121" t="s">
        <v>0</v>
      </c>
      <c r="J4" s="121"/>
      <c r="K4" s="67"/>
    </row>
    <row r="5" spans="1:12" s="25" customFormat="1" ht="32.450000000000003" customHeight="1" x14ac:dyDescent="0.25">
      <c r="A5" s="116" t="s">
        <v>1</v>
      </c>
      <c r="B5" s="116" t="s">
        <v>117</v>
      </c>
      <c r="C5" s="116" t="s">
        <v>183</v>
      </c>
      <c r="D5" s="116"/>
      <c r="E5" s="116" t="s">
        <v>197</v>
      </c>
      <c r="F5" s="116"/>
      <c r="G5" s="116"/>
      <c r="H5" s="116"/>
      <c r="I5" s="120" t="s">
        <v>199</v>
      </c>
      <c r="J5" s="120"/>
      <c r="K5" s="68"/>
    </row>
    <row r="6" spans="1:12" s="25" customFormat="1" ht="43.15" customHeight="1" x14ac:dyDescent="0.25">
      <c r="A6" s="116"/>
      <c r="B6" s="116"/>
      <c r="C6" s="71" t="s">
        <v>118</v>
      </c>
      <c r="D6" s="71" t="s">
        <v>119</v>
      </c>
      <c r="E6" s="71" t="s">
        <v>120</v>
      </c>
      <c r="F6" s="71" t="s">
        <v>121</v>
      </c>
      <c r="G6" s="71" t="s">
        <v>103</v>
      </c>
      <c r="H6" s="71" t="s">
        <v>104</v>
      </c>
      <c r="I6" s="75" t="s">
        <v>122</v>
      </c>
      <c r="J6" s="75" t="s">
        <v>123</v>
      </c>
      <c r="K6" s="68"/>
    </row>
    <row r="7" spans="1:12" s="19" customFormat="1" ht="23.1" customHeight="1" x14ac:dyDescent="0.25">
      <c r="A7" s="71" t="s">
        <v>11</v>
      </c>
      <c r="B7" s="14" t="s">
        <v>124</v>
      </c>
      <c r="C7" s="21">
        <f>C8+C13+C12+C37+C38</f>
        <v>13747257</v>
      </c>
      <c r="D7" s="21">
        <f>D8+D13+D12+D37+D38</f>
        <v>14744932</v>
      </c>
      <c r="E7" s="21">
        <f>SUM(F7:H7)</f>
        <v>19961768.483489998</v>
      </c>
      <c r="F7" s="21">
        <f>F8+F12+F13+F37+F38+F39+F40</f>
        <v>10177601.675437</v>
      </c>
      <c r="G7" s="21">
        <f>G8+G12+G13+G37+G38+G39+G40</f>
        <v>5907108.8996259999</v>
      </c>
      <c r="H7" s="21">
        <f>H8+H12+H13+H37+H38+H39+H40</f>
        <v>3877057.908427</v>
      </c>
      <c r="I7" s="20">
        <f>E7/C7</f>
        <v>1.4520546523200955</v>
      </c>
      <c r="J7" s="87">
        <f>E7/D7</f>
        <v>1.3538053945240303</v>
      </c>
      <c r="K7" s="36"/>
    </row>
    <row r="8" spans="1:12" s="19" customFormat="1" ht="23.1" customHeight="1" x14ac:dyDescent="0.25">
      <c r="A8" s="71" t="s">
        <v>16</v>
      </c>
      <c r="B8" s="14" t="s">
        <v>125</v>
      </c>
      <c r="C8" s="21">
        <v>3278532</v>
      </c>
      <c r="D8" s="21">
        <v>4169511</v>
      </c>
      <c r="E8" s="21">
        <f t="shared" ref="E8:E12" si="0">SUM(F8:H8)</f>
        <v>4359355.5934690004</v>
      </c>
      <c r="F8" s="58">
        <f>SUM(F9:F11)</f>
        <v>2365923.8251920003</v>
      </c>
      <c r="G8" s="21">
        <f>SUM(G9:G11)</f>
        <v>739856.64430000004</v>
      </c>
      <c r="H8" s="21">
        <f>SUM(H9:H11)</f>
        <v>1253575.1239769999</v>
      </c>
      <c r="I8" s="20">
        <f>E8/C8</f>
        <v>1.3296669343074889</v>
      </c>
      <c r="J8" s="87">
        <f>E8/D8</f>
        <v>1.0455316207269871</v>
      </c>
      <c r="K8" s="36"/>
      <c r="L8" s="36"/>
    </row>
    <row r="9" spans="1:12" s="19" customFormat="1" ht="37.5" customHeight="1" x14ac:dyDescent="0.25">
      <c r="A9" s="73">
        <v>1</v>
      </c>
      <c r="B9" s="18" t="s">
        <v>126</v>
      </c>
      <c r="C9" s="22"/>
      <c r="D9" s="22"/>
      <c r="E9" s="22">
        <f t="shared" si="0"/>
        <v>4301758.7508089999</v>
      </c>
      <c r="F9" s="22">
        <f>2870826.982532-100000-15000-250000-140000-55000-2500</f>
        <v>2308326.9825320002</v>
      </c>
      <c r="G9" s="22">
        <f>845856.6443-56000-50000</f>
        <v>739856.64430000004</v>
      </c>
      <c r="H9" s="53">
        <f>1578955.123977-100000-160000-65000-380</f>
        <v>1253575.1239769999</v>
      </c>
      <c r="I9" s="23"/>
      <c r="J9" s="88"/>
      <c r="K9" s="36"/>
    </row>
    <row r="10" spans="1:12" s="19" customFormat="1" ht="33.950000000000003" customHeight="1" x14ac:dyDescent="0.25">
      <c r="A10" s="73">
        <v>2</v>
      </c>
      <c r="B10" s="18" t="s">
        <v>139</v>
      </c>
      <c r="C10" s="22"/>
      <c r="D10" s="22"/>
      <c r="E10" s="22">
        <f t="shared" si="0"/>
        <v>2288.5189</v>
      </c>
      <c r="F10" s="22">
        <v>2288.5189</v>
      </c>
      <c r="G10" s="22"/>
      <c r="H10" s="22"/>
      <c r="I10" s="23"/>
      <c r="J10" s="88"/>
      <c r="K10" s="36"/>
    </row>
    <row r="11" spans="1:12" s="19" customFormat="1" ht="23.1" customHeight="1" x14ac:dyDescent="0.25">
      <c r="A11" s="73">
        <v>3</v>
      </c>
      <c r="B11" s="18" t="s">
        <v>140</v>
      </c>
      <c r="C11" s="22"/>
      <c r="D11" s="22"/>
      <c r="E11" s="22">
        <f t="shared" si="0"/>
        <v>55308.323759999999</v>
      </c>
      <c r="F11" s="22">
        <v>55308.323759999999</v>
      </c>
      <c r="G11" s="22"/>
      <c r="H11" s="22"/>
      <c r="I11" s="23"/>
      <c r="J11" s="88"/>
      <c r="K11" s="36"/>
    </row>
    <row r="12" spans="1:12" s="24" customFormat="1" ht="23.1" customHeight="1" x14ac:dyDescent="0.25">
      <c r="A12" s="71" t="s">
        <v>56</v>
      </c>
      <c r="B12" s="14" t="s">
        <v>141</v>
      </c>
      <c r="C12" s="21">
        <v>2800</v>
      </c>
      <c r="D12" s="21"/>
      <c r="E12" s="21">
        <f t="shared" si="0"/>
        <v>1062.2471539999999</v>
      </c>
      <c r="F12" s="21">
        <v>1062.2471539999999</v>
      </c>
      <c r="G12" s="21"/>
      <c r="H12" s="21"/>
      <c r="I12" s="20"/>
      <c r="J12" s="87"/>
      <c r="K12" s="33"/>
    </row>
    <row r="13" spans="1:12" s="24" customFormat="1" ht="23.1" customHeight="1" x14ac:dyDescent="0.25">
      <c r="A13" s="71" t="s">
        <v>60</v>
      </c>
      <c r="B13" s="14" t="s">
        <v>142</v>
      </c>
      <c r="C13" s="21">
        <v>10244635</v>
      </c>
      <c r="D13" s="21">
        <f>D14+D18+D23+D25+D28+D29+D30+D31+D32+D33+D34+D35+D36</f>
        <v>10325818</v>
      </c>
      <c r="E13" s="21">
        <f>SUM(E14:E36)</f>
        <v>9643916.4023919981</v>
      </c>
      <c r="F13" s="21">
        <f>SUM(F14:F36)</f>
        <v>3265346.4421759997</v>
      </c>
      <c r="G13" s="21">
        <f>SUM(G14:G36)</f>
        <v>4251125.1462340001</v>
      </c>
      <c r="H13" s="21">
        <f>SUM(H14:H36)</f>
        <v>2127444.8139820001</v>
      </c>
      <c r="I13" s="20">
        <f>E13/C13</f>
        <v>0.9413626158854852</v>
      </c>
      <c r="J13" s="87">
        <f>E13/D13</f>
        <v>0.9339614936455396</v>
      </c>
      <c r="K13" s="33"/>
    </row>
    <row r="14" spans="1:12" s="92" customFormat="1" ht="23.1" customHeight="1" x14ac:dyDescent="0.25">
      <c r="A14" s="60">
        <v>1</v>
      </c>
      <c r="B14" s="61" t="s">
        <v>127</v>
      </c>
      <c r="C14" s="53"/>
      <c r="D14" s="53">
        <f>SUM(D15:D17)</f>
        <v>219937</v>
      </c>
      <c r="E14" s="53">
        <f>SUM(F14:H14)</f>
        <v>287161.55557800003</v>
      </c>
      <c r="F14" s="53">
        <v>155511.26300000001</v>
      </c>
      <c r="G14" s="53">
        <v>60115.44</v>
      </c>
      <c r="H14" s="53">
        <v>71534.852578000005</v>
      </c>
      <c r="I14" s="62"/>
      <c r="J14" s="89">
        <f t="shared" ref="J14:J36" si="1">E14/D14</f>
        <v>1.3056536898202669</v>
      </c>
      <c r="K14" s="91"/>
    </row>
    <row r="15" spans="1:12" s="92" customFormat="1" ht="23.1" hidden="1" customHeight="1" x14ac:dyDescent="0.25">
      <c r="A15" s="60"/>
      <c r="B15" s="61" t="s">
        <v>127</v>
      </c>
      <c r="C15" s="53"/>
      <c r="D15" s="53">
        <v>151627</v>
      </c>
      <c r="E15" s="53"/>
      <c r="F15" s="53"/>
      <c r="G15" s="53"/>
      <c r="H15" s="53"/>
      <c r="I15" s="62"/>
      <c r="J15" s="89"/>
      <c r="K15" s="91">
        <f>D14+D18</f>
        <v>323912</v>
      </c>
    </row>
    <row r="16" spans="1:12" s="92" customFormat="1" ht="23.1" hidden="1" customHeight="1" x14ac:dyDescent="0.25">
      <c r="A16" s="60"/>
      <c r="B16" s="61" t="s">
        <v>188</v>
      </c>
      <c r="C16" s="53"/>
      <c r="D16" s="53">
        <v>58310</v>
      </c>
      <c r="E16" s="53"/>
      <c r="F16" s="53"/>
      <c r="G16" s="53"/>
      <c r="H16" s="53"/>
      <c r="I16" s="62"/>
      <c r="J16" s="89"/>
      <c r="K16" s="93">
        <f>K14/K15</f>
        <v>0</v>
      </c>
    </row>
    <row r="17" spans="1:11" s="92" customFormat="1" ht="23.1" hidden="1" customHeight="1" x14ac:dyDescent="0.25">
      <c r="A17" s="60"/>
      <c r="B17" s="61" t="s">
        <v>189</v>
      </c>
      <c r="C17" s="53"/>
      <c r="D17" s="53">
        <v>10000</v>
      </c>
      <c r="E17" s="53"/>
      <c r="F17" s="53"/>
      <c r="G17" s="53"/>
      <c r="H17" s="53"/>
      <c r="I17" s="62"/>
      <c r="J17" s="89"/>
      <c r="K17" s="91"/>
    </row>
    <row r="18" spans="1:11" s="92" customFormat="1" ht="23.1" customHeight="1" x14ac:dyDescent="0.25">
      <c r="A18" s="60">
        <v>2</v>
      </c>
      <c r="B18" s="61" t="s">
        <v>128</v>
      </c>
      <c r="C18" s="53"/>
      <c r="D18" s="53">
        <f>SUM(D19:D22)</f>
        <v>103975</v>
      </c>
      <c r="E18" s="53">
        <f t="shared" ref="E18:E36" si="2">SUM(F18:H18)</f>
        <v>142440.72677100002</v>
      </c>
      <c r="F18" s="53">
        <v>61943.521999999997</v>
      </c>
      <c r="G18" s="53">
        <v>33889.015160000003</v>
      </c>
      <c r="H18" s="53">
        <v>46608.189611000002</v>
      </c>
      <c r="I18" s="62"/>
      <c r="J18" s="89">
        <f t="shared" si="1"/>
        <v>1.3699516881077183</v>
      </c>
      <c r="K18" s="91"/>
    </row>
    <row r="19" spans="1:11" s="19" customFormat="1" ht="23.1" hidden="1" customHeight="1" x14ac:dyDescent="0.25">
      <c r="A19" s="73"/>
      <c r="B19" s="18" t="s">
        <v>128</v>
      </c>
      <c r="C19" s="22"/>
      <c r="D19" s="65">
        <v>78575</v>
      </c>
      <c r="E19" s="22"/>
      <c r="F19" s="22"/>
      <c r="G19" s="22"/>
      <c r="H19" s="22"/>
      <c r="I19" s="23"/>
      <c r="J19" s="88"/>
      <c r="K19" s="36"/>
    </row>
    <row r="20" spans="1:11" s="19" customFormat="1" ht="23.1" hidden="1" customHeight="1" x14ac:dyDescent="0.25">
      <c r="A20" s="76"/>
      <c r="B20" s="77" t="s">
        <v>192</v>
      </c>
      <c r="C20" s="65"/>
      <c r="D20" s="65">
        <v>2000</v>
      </c>
      <c r="E20" s="22"/>
      <c r="F20" s="22"/>
      <c r="G20" s="22"/>
      <c r="H20" s="22"/>
      <c r="I20" s="23"/>
      <c r="J20" s="88"/>
      <c r="K20" s="36"/>
    </row>
    <row r="21" spans="1:11" s="19" customFormat="1" ht="23.1" hidden="1" customHeight="1" x14ac:dyDescent="0.25">
      <c r="A21" s="76"/>
      <c r="B21" s="77" t="s">
        <v>190</v>
      </c>
      <c r="C21" s="65"/>
      <c r="D21" s="65">
        <v>23000</v>
      </c>
      <c r="E21" s="22"/>
      <c r="F21" s="22"/>
      <c r="G21" s="22"/>
      <c r="H21" s="22"/>
      <c r="I21" s="23"/>
      <c r="J21" s="88"/>
      <c r="K21" s="36"/>
    </row>
    <row r="22" spans="1:11" s="19" customFormat="1" ht="23.1" hidden="1" customHeight="1" x14ac:dyDescent="0.25">
      <c r="A22" s="73"/>
      <c r="B22" s="18" t="s">
        <v>191</v>
      </c>
      <c r="C22" s="22"/>
      <c r="D22" s="22">
        <v>400</v>
      </c>
      <c r="E22" s="22"/>
      <c r="F22" s="22"/>
      <c r="G22" s="22"/>
      <c r="H22" s="22"/>
      <c r="I22" s="23"/>
      <c r="J22" s="88"/>
      <c r="K22" s="36"/>
    </row>
    <row r="23" spans="1:11" s="19" customFormat="1" ht="23.1" customHeight="1" x14ac:dyDescent="0.25">
      <c r="A23" s="60">
        <v>3</v>
      </c>
      <c r="B23" s="61" t="s">
        <v>129</v>
      </c>
      <c r="C23" s="53">
        <v>3787542</v>
      </c>
      <c r="D23" s="53">
        <f>3792473-2000</f>
        <v>3790473</v>
      </c>
      <c r="E23" s="53">
        <f t="shared" si="2"/>
        <v>3513686.4660699996</v>
      </c>
      <c r="F23" s="22">
        <f>687909.948717+100000</f>
        <v>787909.94871699996</v>
      </c>
      <c r="G23" s="22">
        <v>2597058.1660409998</v>
      </c>
      <c r="H23" s="22">
        <f>28718.351312+100000</f>
        <v>128718.351312</v>
      </c>
      <c r="I23" s="23"/>
      <c r="J23" s="88">
        <f t="shared" si="1"/>
        <v>0.92697836551533264</v>
      </c>
      <c r="K23" s="36"/>
    </row>
    <row r="24" spans="1:11" s="19" customFormat="1" ht="23.1" hidden="1" customHeight="1" x14ac:dyDescent="0.25">
      <c r="A24" s="60"/>
      <c r="B24" s="61" t="s">
        <v>193</v>
      </c>
      <c r="C24" s="53"/>
      <c r="D24" s="53"/>
      <c r="E24" s="53"/>
      <c r="F24" s="22"/>
      <c r="G24" s="22"/>
      <c r="H24" s="22"/>
      <c r="I24" s="23"/>
      <c r="J24" s="88"/>
      <c r="K24" s="36"/>
    </row>
    <row r="25" spans="1:11" s="19" customFormat="1" ht="23.1" customHeight="1" x14ac:dyDescent="0.25">
      <c r="A25" s="60">
        <v>4</v>
      </c>
      <c r="B25" s="61" t="s">
        <v>155</v>
      </c>
      <c r="C25" s="53">
        <v>29647</v>
      </c>
      <c r="D25" s="53">
        <f>D26+D27</f>
        <v>46373</v>
      </c>
      <c r="E25" s="53">
        <f t="shared" si="2"/>
        <v>44130.036</v>
      </c>
      <c r="F25" s="22">
        <f>39657.211+2500</f>
        <v>42157.211000000003</v>
      </c>
      <c r="G25" s="22">
        <v>1972.825</v>
      </c>
      <c r="H25" s="22"/>
      <c r="I25" s="23"/>
      <c r="J25" s="88">
        <f t="shared" si="1"/>
        <v>0.95163211351432941</v>
      </c>
      <c r="K25" s="36"/>
    </row>
    <row r="26" spans="1:11" s="19" customFormat="1" ht="23.1" hidden="1" customHeight="1" x14ac:dyDescent="0.25">
      <c r="A26" s="60"/>
      <c r="B26" s="61" t="s">
        <v>194</v>
      </c>
      <c r="C26" s="53"/>
      <c r="D26" s="53">
        <v>6800</v>
      </c>
      <c r="E26" s="53"/>
      <c r="F26" s="22"/>
      <c r="G26" s="22"/>
      <c r="H26" s="22"/>
      <c r="I26" s="23"/>
      <c r="J26" s="88"/>
      <c r="K26" s="36"/>
    </row>
    <row r="27" spans="1:11" s="19" customFormat="1" ht="23.1" hidden="1" customHeight="1" x14ac:dyDescent="0.25">
      <c r="A27" s="60"/>
      <c r="B27" s="61" t="s">
        <v>195</v>
      </c>
      <c r="C27" s="53"/>
      <c r="D27" s="53">
        <v>39573</v>
      </c>
      <c r="E27" s="53"/>
      <c r="F27" s="22"/>
      <c r="G27" s="22"/>
      <c r="H27" s="22"/>
      <c r="I27" s="23"/>
      <c r="J27" s="88"/>
      <c r="K27" s="36"/>
    </row>
    <row r="28" spans="1:11" s="19" customFormat="1" ht="23.1" customHeight="1" x14ac:dyDescent="0.25">
      <c r="A28" s="60">
        <v>5</v>
      </c>
      <c r="B28" s="61" t="s">
        <v>130</v>
      </c>
      <c r="C28" s="53"/>
      <c r="D28" s="53">
        <v>536177</v>
      </c>
      <c r="E28" s="53">
        <f>SUM(F28:H28)</f>
        <v>512367.15627099999</v>
      </c>
      <c r="F28" s="22">
        <f>644474.615291-370000</f>
        <v>274474.61529099999</v>
      </c>
      <c r="G28" s="22">
        <v>211701.06598000001</v>
      </c>
      <c r="H28" s="22">
        <v>26191.474999999999</v>
      </c>
      <c r="I28" s="23"/>
      <c r="J28" s="88">
        <f t="shared" si="1"/>
        <v>0.95559331390753421</v>
      </c>
      <c r="K28" s="36"/>
    </row>
    <row r="29" spans="1:11" s="19" customFormat="1" ht="23.1" customHeight="1" x14ac:dyDescent="0.25">
      <c r="A29" s="60">
        <v>6</v>
      </c>
      <c r="B29" s="61" t="s">
        <v>131</v>
      </c>
      <c r="C29" s="53"/>
      <c r="D29" s="53">
        <f>155190-D31</f>
        <v>109190</v>
      </c>
      <c r="E29" s="53">
        <f t="shared" si="2"/>
        <v>113451.63647999999</v>
      </c>
      <c r="F29" s="53">
        <v>62236.916816999998</v>
      </c>
      <c r="G29" s="53">
        <v>30313.447314000001</v>
      </c>
      <c r="H29" s="53">
        <v>20901.272348999999</v>
      </c>
      <c r="I29" s="62"/>
      <c r="J29" s="89">
        <f t="shared" si="1"/>
        <v>1.0390295492261195</v>
      </c>
      <c r="K29" s="36"/>
    </row>
    <row r="30" spans="1:11" s="19" customFormat="1" ht="23.1" customHeight="1" x14ac:dyDescent="0.25">
      <c r="A30" s="60">
        <v>7</v>
      </c>
      <c r="B30" s="61" t="s">
        <v>132</v>
      </c>
      <c r="C30" s="53"/>
      <c r="D30" s="53">
        <v>54000</v>
      </c>
      <c r="E30" s="53">
        <f t="shared" si="2"/>
        <v>48333.936585999996</v>
      </c>
      <c r="F30" s="53">
        <v>27647</v>
      </c>
      <c r="G30" s="53">
        <v>17227.913686</v>
      </c>
      <c r="H30" s="53">
        <f>3079.0229+380</f>
        <v>3459.0228999999999</v>
      </c>
      <c r="I30" s="62"/>
      <c r="J30" s="89">
        <f t="shared" si="1"/>
        <v>0.89507289974074067</v>
      </c>
      <c r="K30" s="36"/>
    </row>
    <row r="31" spans="1:11" s="19" customFormat="1" ht="23.1" customHeight="1" x14ac:dyDescent="0.25">
      <c r="A31" s="60">
        <v>8</v>
      </c>
      <c r="B31" s="61" t="s">
        <v>133</v>
      </c>
      <c r="C31" s="53"/>
      <c r="D31" s="53">
        <v>46000</v>
      </c>
      <c r="E31" s="53">
        <f t="shared" si="2"/>
        <v>41731.436100000006</v>
      </c>
      <c r="F31" s="53">
        <v>31994.616000000002</v>
      </c>
      <c r="G31" s="53">
        <v>3593.8960000000002</v>
      </c>
      <c r="H31" s="53">
        <v>6142.9241000000002</v>
      </c>
      <c r="I31" s="62"/>
      <c r="J31" s="89">
        <f t="shared" si="1"/>
        <v>0.90720513260869584</v>
      </c>
      <c r="K31" s="36"/>
    </row>
    <row r="32" spans="1:11" s="19" customFormat="1" ht="23.1" customHeight="1" x14ac:dyDescent="0.25">
      <c r="A32" s="60">
        <v>9</v>
      </c>
      <c r="B32" s="61" t="s">
        <v>134</v>
      </c>
      <c r="C32" s="53">
        <v>53980</v>
      </c>
      <c r="D32" s="53">
        <f>130120-400</f>
        <v>129720</v>
      </c>
      <c r="E32" s="53">
        <f t="shared" si="2"/>
        <v>118357.204338</v>
      </c>
      <c r="F32" s="53">
        <f>42940.032971+15000</f>
        <v>57940.032971000001</v>
      </c>
      <c r="G32" s="53">
        <v>47625.082600000002</v>
      </c>
      <c r="H32" s="53">
        <v>12792.088766999999</v>
      </c>
      <c r="I32" s="62"/>
      <c r="J32" s="89">
        <f t="shared" si="1"/>
        <v>0.91240521382978723</v>
      </c>
      <c r="K32" s="36"/>
    </row>
    <row r="33" spans="1:12" s="19" customFormat="1" ht="23.1" customHeight="1" x14ac:dyDescent="0.25">
      <c r="A33" s="60">
        <v>10</v>
      </c>
      <c r="B33" s="61" t="s">
        <v>135</v>
      </c>
      <c r="C33" s="53"/>
      <c r="D33" s="53">
        <v>1377114</v>
      </c>
      <c r="E33" s="53">
        <f t="shared" si="2"/>
        <v>1237533.458172</v>
      </c>
      <c r="F33" s="53">
        <f>322689.17415+250000</f>
        <v>572689.17414999998</v>
      </c>
      <c r="G33" s="53">
        <f>160633.007144+56000</f>
        <v>216633.007144</v>
      </c>
      <c r="H33" s="53">
        <f>288211.276878+160000</f>
        <v>448211.276878</v>
      </c>
      <c r="I33" s="62"/>
      <c r="J33" s="89">
        <f t="shared" si="1"/>
        <v>0.89864271089539427</v>
      </c>
      <c r="K33" s="36"/>
    </row>
    <row r="34" spans="1:12" s="19" customFormat="1" ht="23.1" customHeight="1" x14ac:dyDescent="0.25">
      <c r="A34" s="60">
        <v>11</v>
      </c>
      <c r="B34" s="61" t="s">
        <v>136</v>
      </c>
      <c r="C34" s="53"/>
      <c r="D34" s="53">
        <v>2736669</v>
      </c>
      <c r="E34" s="53">
        <f>SUM(F34:H34)</f>
        <v>2504931.384662</v>
      </c>
      <c r="F34" s="53">
        <f>554768.612785+140000+55000</f>
        <v>749768.612785</v>
      </c>
      <c r="G34" s="53">
        <f>531223.512272+50000</f>
        <v>581223.51227199996</v>
      </c>
      <c r="H34" s="53">
        <v>1173939.259605</v>
      </c>
      <c r="I34" s="62"/>
      <c r="J34" s="89">
        <f t="shared" si="1"/>
        <v>0.91532128462082918</v>
      </c>
      <c r="K34" s="36"/>
    </row>
    <row r="35" spans="1:12" s="19" customFormat="1" ht="23.1" customHeight="1" x14ac:dyDescent="0.25">
      <c r="A35" s="60">
        <v>12</v>
      </c>
      <c r="B35" s="61" t="s">
        <v>137</v>
      </c>
      <c r="C35" s="53"/>
      <c r="D35" s="22">
        <v>1066271</v>
      </c>
      <c r="E35" s="53">
        <f t="shared" si="2"/>
        <v>977635.02896999998</v>
      </c>
      <c r="F35" s="53">
        <f>43874.8625+370000</f>
        <v>413874.86249999999</v>
      </c>
      <c r="G35" s="53">
        <v>389911.95422000001</v>
      </c>
      <c r="H35" s="53">
        <f>108848.21225+65000</f>
        <v>173848.21224999998</v>
      </c>
      <c r="I35" s="62"/>
      <c r="J35" s="89">
        <f t="shared" si="1"/>
        <v>0.91687294221637838</v>
      </c>
      <c r="K35" s="36"/>
    </row>
    <row r="36" spans="1:12" s="19" customFormat="1" ht="23.1" customHeight="1" x14ac:dyDescent="0.25">
      <c r="A36" s="60">
        <v>13</v>
      </c>
      <c r="B36" s="61" t="s">
        <v>138</v>
      </c>
      <c r="C36" s="53"/>
      <c r="D36" s="53">
        <v>109919</v>
      </c>
      <c r="E36" s="53">
        <f t="shared" si="2"/>
        <v>102156.37639400001</v>
      </c>
      <c r="F36" s="53">
        <f>27175.238856+23.428089</f>
        <v>27198.666945000001</v>
      </c>
      <c r="G36" s="53">
        <f>27703.574105+32156.246712</f>
        <v>59859.820817</v>
      </c>
      <c r="H36" s="53">
        <f>11752.616534+3345.272098</f>
        <v>15097.888632</v>
      </c>
      <c r="I36" s="62"/>
      <c r="J36" s="89">
        <f t="shared" si="1"/>
        <v>0.92937869152739749</v>
      </c>
      <c r="K36" s="36"/>
    </row>
    <row r="37" spans="1:12" s="66" customFormat="1" ht="23.1" customHeight="1" x14ac:dyDescent="0.25">
      <c r="A37" s="56" t="s">
        <v>61</v>
      </c>
      <c r="B37" s="57" t="s">
        <v>143</v>
      </c>
      <c r="C37" s="58">
        <v>1340</v>
      </c>
      <c r="D37" s="58">
        <v>1340</v>
      </c>
      <c r="E37" s="58">
        <v>1340</v>
      </c>
      <c r="F37" s="58">
        <v>1340</v>
      </c>
      <c r="G37" s="58"/>
      <c r="H37" s="58"/>
      <c r="I37" s="59">
        <f>E37/C37</f>
        <v>1</v>
      </c>
      <c r="J37" s="90">
        <f>E37/D37</f>
        <v>1</v>
      </c>
      <c r="K37" s="69"/>
    </row>
    <row r="38" spans="1:12" s="66" customFormat="1" ht="23.1" customHeight="1" x14ac:dyDescent="0.25">
      <c r="A38" s="56" t="s">
        <v>62</v>
      </c>
      <c r="B38" s="57" t="s">
        <v>144</v>
      </c>
      <c r="C38" s="58">
        <v>219950</v>
      </c>
      <c r="D38" s="58">
        <v>248263</v>
      </c>
      <c r="E38" s="58"/>
      <c r="F38" s="58"/>
      <c r="G38" s="58"/>
      <c r="H38" s="58"/>
      <c r="I38" s="59"/>
      <c r="J38" s="90"/>
      <c r="K38" s="69"/>
    </row>
    <row r="39" spans="1:12" s="52" customFormat="1" ht="23.1" customHeight="1" x14ac:dyDescent="0.25">
      <c r="A39" s="56" t="s">
        <v>84</v>
      </c>
      <c r="B39" s="57" t="s">
        <v>145</v>
      </c>
      <c r="C39" s="58"/>
      <c r="D39" s="58"/>
      <c r="E39" s="63">
        <f>F39+G39+H39</f>
        <v>5956094.2404749999</v>
      </c>
      <c r="F39" s="64">
        <v>4543929.1609150004</v>
      </c>
      <c r="G39" s="64">
        <v>916127.10909200006</v>
      </c>
      <c r="H39" s="64">
        <v>496037.97046799998</v>
      </c>
      <c r="I39" s="59"/>
      <c r="J39" s="90"/>
      <c r="K39" s="70"/>
    </row>
    <row r="40" spans="1:12" s="24" customFormat="1" ht="23.1" customHeight="1" x14ac:dyDescent="0.25">
      <c r="A40" s="56" t="s">
        <v>102</v>
      </c>
      <c r="B40" s="57" t="s">
        <v>146</v>
      </c>
      <c r="C40" s="58"/>
      <c r="D40" s="58"/>
      <c r="E40" s="58">
        <f>SUM(F40:H40)</f>
        <v>0</v>
      </c>
      <c r="F40" s="58"/>
      <c r="G40" s="58"/>
      <c r="H40" s="58"/>
      <c r="I40" s="59"/>
      <c r="J40" s="90"/>
      <c r="K40" s="33"/>
    </row>
    <row r="41" spans="1:12" s="24" customFormat="1" ht="28.5" customHeight="1" x14ac:dyDescent="0.25">
      <c r="A41" s="56" t="s">
        <v>12</v>
      </c>
      <c r="B41" s="57" t="s">
        <v>147</v>
      </c>
      <c r="C41" s="58"/>
      <c r="D41" s="58"/>
      <c r="E41" s="58">
        <f>SUM(F41:H41)</f>
        <v>5054.2901999999995</v>
      </c>
      <c r="F41" s="58">
        <v>2981</v>
      </c>
      <c r="G41" s="58"/>
      <c r="H41" s="58">
        <v>2073.2901999999999</v>
      </c>
      <c r="I41" s="59"/>
      <c r="J41" s="90"/>
      <c r="K41" s="33"/>
    </row>
    <row r="42" spans="1:12" s="24" customFormat="1" ht="33.950000000000003" customHeight="1" x14ac:dyDescent="0.25">
      <c r="A42" s="56" t="s">
        <v>63</v>
      </c>
      <c r="B42" s="57" t="s">
        <v>148</v>
      </c>
      <c r="C42" s="58"/>
      <c r="D42" s="58"/>
      <c r="E42" s="58">
        <f>E43+E44</f>
        <v>8619063.3731050007</v>
      </c>
      <c r="F42" s="58">
        <f>F43+F44</f>
        <v>6241184.2522960007</v>
      </c>
      <c r="G42" s="58">
        <f>G43+G44</f>
        <v>2377879.120809</v>
      </c>
      <c r="H42" s="58">
        <v>0</v>
      </c>
      <c r="I42" s="59"/>
      <c r="J42" s="90"/>
      <c r="K42" s="33"/>
    </row>
    <row r="43" spans="1:12" s="19" customFormat="1" ht="23.1" customHeight="1" x14ac:dyDescent="0.25">
      <c r="A43" s="60">
        <v>1</v>
      </c>
      <c r="B43" s="61" t="s">
        <v>65</v>
      </c>
      <c r="C43" s="53"/>
      <c r="D43" s="53"/>
      <c r="E43" s="53">
        <f>SUM(F43:H43)</f>
        <v>5574276.5483760005</v>
      </c>
      <c r="F43" s="53">
        <v>4627288.8802960003</v>
      </c>
      <c r="G43" s="53">
        <v>946987.66807999997</v>
      </c>
      <c r="H43" s="53"/>
      <c r="I43" s="59"/>
      <c r="J43" s="90"/>
      <c r="K43" s="36"/>
    </row>
    <row r="44" spans="1:12" s="19" customFormat="1" ht="23.1" customHeight="1" x14ac:dyDescent="0.25">
      <c r="A44" s="60">
        <v>2</v>
      </c>
      <c r="B44" s="61" t="s">
        <v>96</v>
      </c>
      <c r="C44" s="53"/>
      <c r="D44" s="53"/>
      <c r="E44" s="53">
        <f t="shared" ref="E44:E47" si="3">SUM(F44:H44)</f>
        <v>3044786.8247290002</v>
      </c>
      <c r="F44" s="53">
        <f>F45</f>
        <v>1613895.372</v>
      </c>
      <c r="G44" s="53">
        <f>G45</f>
        <v>1430891.452729</v>
      </c>
      <c r="H44" s="53"/>
      <c r="I44" s="59"/>
      <c r="J44" s="90"/>
      <c r="K44" s="36"/>
    </row>
    <row r="45" spans="1:12" s="19" customFormat="1" ht="23.1" customHeight="1" x14ac:dyDescent="0.25">
      <c r="A45" s="60"/>
      <c r="B45" s="61" t="s">
        <v>149</v>
      </c>
      <c r="C45" s="53"/>
      <c r="D45" s="53"/>
      <c r="E45" s="53">
        <f t="shared" si="3"/>
        <v>3044786.8247290002</v>
      </c>
      <c r="F45" s="53">
        <v>1613895.372</v>
      </c>
      <c r="G45" s="53">
        <v>1430891.452729</v>
      </c>
      <c r="H45" s="53"/>
      <c r="I45" s="59"/>
      <c r="J45" s="90"/>
      <c r="K45" s="36"/>
    </row>
    <row r="46" spans="1:12" s="19" customFormat="1" ht="23.1" customHeight="1" x14ac:dyDescent="0.25">
      <c r="A46" s="60"/>
      <c r="B46" s="61" t="s">
        <v>150</v>
      </c>
      <c r="C46" s="53"/>
      <c r="D46" s="53"/>
      <c r="E46" s="53">
        <f t="shared" si="3"/>
        <v>0</v>
      </c>
      <c r="F46" s="53"/>
      <c r="G46" s="53"/>
      <c r="H46" s="53"/>
      <c r="I46" s="59"/>
      <c r="J46" s="90"/>
      <c r="K46" s="36"/>
    </row>
    <row r="47" spans="1:12" s="66" customFormat="1" ht="23.1" customHeight="1" x14ac:dyDescent="0.25">
      <c r="A47" s="56" t="s">
        <v>64</v>
      </c>
      <c r="B47" s="57" t="s">
        <v>151</v>
      </c>
      <c r="C47" s="58"/>
      <c r="D47" s="58">
        <v>165000</v>
      </c>
      <c r="E47" s="58">
        <f t="shared" si="3"/>
        <v>114758.06679899999</v>
      </c>
      <c r="F47" s="58">
        <v>114758.06679899999</v>
      </c>
      <c r="G47" s="58"/>
      <c r="H47" s="58"/>
      <c r="I47" s="59"/>
      <c r="J47" s="90">
        <f t="shared" ref="J47:J48" si="4">E47/D47</f>
        <v>0.69550343514545454</v>
      </c>
      <c r="K47" s="69"/>
    </row>
    <row r="48" spans="1:12" s="24" customFormat="1" ht="23.1" customHeight="1" x14ac:dyDescent="0.25">
      <c r="A48" s="56"/>
      <c r="B48" s="57" t="s">
        <v>152</v>
      </c>
      <c r="C48" s="58">
        <f t="shared" ref="C48:H48" si="5">C7+C41+C42+C47</f>
        <v>13747257</v>
      </c>
      <c r="D48" s="58">
        <f>D7+D41+D42+D47</f>
        <v>14909932</v>
      </c>
      <c r="E48" s="58">
        <f t="shared" si="5"/>
        <v>28700644.213593997</v>
      </c>
      <c r="F48" s="58">
        <f t="shared" si="5"/>
        <v>16536524.994532</v>
      </c>
      <c r="G48" s="58">
        <f t="shared" si="5"/>
        <v>8284988.0204349998</v>
      </c>
      <c r="H48" s="58">
        <f t="shared" si="5"/>
        <v>3879131.1986270002</v>
      </c>
      <c r="I48" s="59">
        <f t="shared" ref="I48" si="6">E48/C48</f>
        <v>2.0877360635357292</v>
      </c>
      <c r="J48" s="90">
        <f t="shared" si="4"/>
        <v>1.9249346149663189</v>
      </c>
      <c r="K48" s="33"/>
      <c r="L48" s="35"/>
    </row>
    <row r="49" spans="3:4" ht="26.25" customHeight="1" x14ac:dyDescent="0.25">
      <c r="C49" s="13"/>
      <c r="D49" s="13"/>
    </row>
  </sheetData>
  <mergeCells count="9">
    <mergeCell ref="I1:J1"/>
    <mergeCell ref="A2:J2"/>
    <mergeCell ref="I5:J5"/>
    <mergeCell ref="E5:H5"/>
    <mergeCell ref="I4:J4"/>
    <mergeCell ref="A5:A6"/>
    <mergeCell ref="B5:B6"/>
    <mergeCell ref="C5:D5"/>
    <mergeCell ref="A3:J3"/>
  </mergeCells>
  <printOptions horizontalCentered="1"/>
  <pageMargins left="0" right="0" top="0.39" bottom="0.34" header="0.2" footer="0.2"/>
  <pageSetup paperSize="9" scale="93" orientation="landscape" r:id="rId1"/>
  <headerFooter>
    <oddFooter>&amp;C&amp;P/&amp;N (Biểu 03/QTNS)</oddFooter>
  </headerFooter>
  <rowBreaks count="1" manualBreakCount="1">
    <brk id="2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Biểu cân  đối</vt:lpstr>
      <vt:lpstr>Quyết toán thu</vt:lpstr>
      <vt:lpstr>Quyết toán chi</vt:lpstr>
      <vt:lpstr>'Biểu cân  đối'!Print_Area</vt:lpstr>
      <vt:lpstr>'Quyết toán chi'!Print_Area</vt:lpstr>
      <vt:lpstr>'Quyết toán thu'!Print_Area</vt:lpstr>
      <vt:lpstr>'Quyết toán chi'!Print_Titles</vt:lpstr>
      <vt:lpstr>'Quyết toán thu'!Print_Titles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thanhsen</dc:creator>
  <cp:lastModifiedBy>nguyentrongchinhht@live.com</cp:lastModifiedBy>
  <cp:lastPrinted>2019-11-28T07:42:50Z</cp:lastPrinted>
  <dcterms:created xsi:type="dcterms:W3CDTF">2018-03-01T03:03:08Z</dcterms:created>
  <dcterms:modified xsi:type="dcterms:W3CDTF">2019-12-09T09:03:44Z</dcterms:modified>
</cp:coreProperties>
</file>