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24226"/>
  <mc:AlternateContent xmlns:mc="http://schemas.openxmlformats.org/markup-compatibility/2006">
    <mc:Choice Requires="x15">
      <x15ac:absPath xmlns:x15ac="http://schemas.microsoft.com/office/spreadsheetml/2010/11/ac" url="F:\Dat dai 1 2021\De an DD TĐC Hai Phong 1-2 Hai Thanh Ky Loi\Hs ngay 1-10-2021\HS trinh\"/>
    </mc:Choice>
  </mc:AlternateContent>
  <xr:revisionPtr revIDLastSave="0" documentId="13_ncr:1_{E0E57309-1B48-4BF5-80EC-3C1370FEF8CC}" xr6:coauthVersionLast="45" xr6:coauthVersionMax="45" xr10:uidLastSave="{00000000-0000-0000-0000-000000000000}"/>
  <bookViews>
    <workbookView xWindow="-120" yWindow="-120" windowWidth="20640" windowHeight="11160" tabRatio="946" firstSheet="1" activeTab="8" xr2:uid="{00000000-000D-0000-FFFF-FFFF00000000}"/>
  </bookViews>
  <sheets>
    <sheet name="foxz" sheetId="5" state="veryHidden" r:id="rId1"/>
    <sheet name="PL1. DS" sheetId="9" r:id="rId2"/>
    <sheet name="PL2. DT" sheetId="10" r:id="rId3"/>
    <sheet name="3. PL3" sheetId="7" r:id="rId4"/>
    <sheet name="4. PL4 Hai phong" sheetId="6" r:id="rId5"/>
    <sheet name="5. PL5 tdc Ky Loi va Ky Thinh" sheetId="4" r:id="rId6"/>
    <sheet name="6. PL6Mo rong nghia trang" sheetId="3" r:id="rId7"/>
    <sheet name="7. PL7 XD" sheetId="11" r:id="rId8"/>
    <sheet name="8. PL8 KT" sheetId="12" r:id="rId9"/>
    <sheet name="PL9" sheetId="13" r:id="rId10"/>
    <sheet name="PL10" sheetId="14" r:id="rId11"/>
    <sheet name="Sheet2" sheetId="2" state="hidden" r:id="rId12"/>
  </sheets>
  <externalReferences>
    <externalReference r:id="rId13"/>
    <externalReference r:id="rId14"/>
    <externalReference r:id="rId15"/>
    <externalReference r:id="rId16"/>
  </externalReferences>
  <definedNames>
    <definedName name="_xlnm.Print_Area" localSheetId="3">'3. PL3'!$A$1:$F$20</definedName>
    <definedName name="_xlnm.Print_Area" localSheetId="4">'4. PL4 Hai phong'!$A$1:$I$32</definedName>
    <definedName name="_xlnm.Print_Area" localSheetId="5">'5. PL5 tdc Ky Loi va Ky Thinh'!$A$1:$I$23</definedName>
    <definedName name="_xlnm.Print_Titles" localSheetId="3">'3. PL3'!$7:$7</definedName>
    <definedName name="_xlnm.Print_Titles" localSheetId="4">'4. PL4 Hai phong'!$7:$7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3" i="12" l="1"/>
  <c r="F13" i="12" s="1"/>
  <c r="B13" i="12"/>
  <c r="G9" i="11"/>
  <c r="B19" i="11"/>
  <c r="K19" i="11"/>
  <c r="L19" i="11" s="1"/>
  <c r="I19" i="11"/>
  <c r="J19" i="11" s="1"/>
  <c r="D22" i="10"/>
  <c r="K22" i="10"/>
  <c r="L22" i="10" s="1"/>
  <c r="I22" i="10"/>
  <c r="J22" i="10" s="1"/>
  <c r="E22" i="10" l="1"/>
  <c r="F22" i="10" s="1"/>
  <c r="F10" i="4"/>
  <c r="G22" i="10" l="1"/>
  <c r="D19" i="11" s="1"/>
  <c r="F19" i="11" s="1"/>
  <c r="B19" i="10"/>
  <c r="B20" i="10"/>
  <c r="B11" i="12" s="1"/>
  <c r="B21" i="10"/>
  <c r="B12" i="12" s="1"/>
  <c r="B18" i="10"/>
  <c r="B9" i="12" s="1"/>
  <c r="B10" i="12"/>
  <c r="G13" i="10"/>
  <c r="K21" i="10"/>
  <c r="L21" i="10" s="1"/>
  <c r="I21" i="10"/>
  <c r="C15" i="11"/>
  <c r="C18" i="10" s="1"/>
  <c r="C18" i="11"/>
  <c r="C21" i="10" s="1"/>
  <c r="K18" i="11"/>
  <c r="L18" i="11" s="1"/>
  <c r="I18" i="11"/>
  <c r="J18" i="11" s="1"/>
  <c r="I22" i="11"/>
  <c r="C12" i="12" l="1"/>
  <c r="F12" i="12" s="1"/>
  <c r="D21" i="10"/>
  <c r="E21" i="10" s="1"/>
  <c r="F21" i="10" s="1"/>
  <c r="C9" i="12"/>
  <c r="J21" i="10"/>
  <c r="A2" i="14"/>
  <c r="A1" i="14"/>
  <c r="D2" i="9"/>
  <c r="D2" i="12" s="1"/>
  <c r="D1" i="9"/>
  <c r="D1" i="12" s="1"/>
  <c r="A2" i="9"/>
  <c r="A2" i="13" s="1"/>
  <c r="A1" i="9"/>
  <c r="A1" i="13" s="1"/>
  <c r="A1" i="12" l="1"/>
  <c r="A2" i="12"/>
  <c r="G21" i="10"/>
  <c r="D18" i="11" s="1"/>
  <c r="F18" i="11" s="1"/>
  <c r="G17" i="14"/>
  <c r="E17" i="14"/>
  <c r="E19" i="14" s="1"/>
  <c r="F24" i="10" s="1"/>
  <c r="C17" i="14"/>
  <c r="D16" i="14" s="1"/>
  <c r="F16" i="14"/>
  <c r="D15" i="14"/>
  <c r="F13" i="14"/>
  <c r="D13" i="14"/>
  <c r="F12" i="14"/>
  <c r="D11" i="14"/>
  <c r="D10" i="14"/>
  <c r="D9" i="14"/>
  <c r="D8" i="14"/>
  <c r="E7" i="14"/>
  <c r="F8" i="14" l="1"/>
  <c r="F9" i="14"/>
  <c r="F10" i="14"/>
  <c r="F11" i="14"/>
  <c r="F14" i="14"/>
  <c r="F15" i="14"/>
  <c r="H17" i="14"/>
  <c r="I17" i="14" s="1"/>
  <c r="D12" i="14"/>
  <c r="D14" i="14"/>
  <c r="F17" i="14" l="1"/>
  <c r="D17" i="14"/>
  <c r="F9" i="9" l="1"/>
  <c r="F8" i="9"/>
  <c r="D10" i="9"/>
  <c r="F9" i="4" l="1"/>
  <c r="K11" i="12" l="1"/>
  <c r="L11" i="12" s="1"/>
  <c r="I11" i="12"/>
  <c r="J11" i="12" s="1"/>
  <c r="K10" i="12"/>
  <c r="L10" i="12" s="1"/>
  <c r="I10" i="12"/>
  <c r="K9" i="12"/>
  <c r="L9" i="12" s="1"/>
  <c r="I9" i="12"/>
  <c r="J9" i="12" s="1"/>
  <c r="F9" i="12"/>
  <c r="K17" i="11"/>
  <c r="L17" i="11" s="1"/>
  <c r="I17" i="11"/>
  <c r="K16" i="11"/>
  <c r="L16" i="11" s="1"/>
  <c r="I16" i="11"/>
  <c r="C16" i="11" s="1"/>
  <c r="K15" i="11"/>
  <c r="I15" i="11"/>
  <c r="J15" i="11" s="1"/>
  <c r="C19" i="10" l="1"/>
  <c r="C23" i="10" s="1"/>
  <c r="C10" i="12"/>
  <c r="J17" i="11"/>
  <c r="C17" i="11"/>
  <c r="C20" i="10" s="1"/>
  <c r="C11" i="12" s="1"/>
  <c r="F11" i="12" s="1"/>
  <c r="J10" i="12"/>
  <c r="J14" i="12" s="1"/>
  <c r="L14" i="12"/>
  <c r="I14" i="12"/>
  <c r="K14" i="12"/>
  <c r="K20" i="11"/>
  <c r="L15" i="11"/>
  <c r="L20" i="11" s="1"/>
  <c r="J16" i="11"/>
  <c r="I20" i="11"/>
  <c r="D41" i="10"/>
  <c r="D39" i="10"/>
  <c r="F34" i="10"/>
  <c r="F33" i="10"/>
  <c r="F32" i="10"/>
  <c r="F31" i="10"/>
  <c r="K20" i="10"/>
  <c r="L20" i="10" s="1"/>
  <c r="I20" i="10"/>
  <c r="J20" i="10" s="1"/>
  <c r="K19" i="10"/>
  <c r="L19" i="10" s="1"/>
  <c r="I19" i="10"/>
  <c r="J19" i="10" s="1"/>
  <c r="K18" i="10"/>
  <c r="K23" i="10" s="1"/>
  <c r="I18" i="10"/>
  <c r="G12" i="10"/>
  <c r="G11" i="10"/>
  <c r="G10" i="10"/>
  <c r="C8" i="10"/>
  <c r="F10" i="12" l="1"/>
  <c r="F14" i="12" s="1"/>
  <c r="C14" i="12"/>
  <c r="G15" i="10"/>
  <c r="C20" i="11"/>
  <c r="J20" i="11"/>
  <c r="L21" i="11" s="1"/>
  <c r="I15" i="12"/>
  <c r="C16" i="7"/>
  <c r="D19" i="10"/>
  <c r="E19" i="10" s="1"/>
  <c r="F19" i="10" s="1"/>
  <c r="G19" i="10" s="1"/>
  <c r="D16" i="11" s="1"/>
  <c r="F16" i="11" s="1"/>
  <c r="I21" i="11"/>
  <c r="D18" i="10"/>
  <c r="D23" i="10" s="1"/>
  <c r="J18" i="10"/>
  <c r="J23" i="10" s="1"/>
  <c r="D20" i="10"/>
  <c r="I23" i="10"/>
  <c r="I24" i="10" s="1"/>
  <c r="L18" i="10"/>
  <c r="L23" i="10" s="1"/>
  <c r="E20" i="10" l="1"/>
  <c r="F20" i="10" s="1"/>
  <c r="G20" i="10" s="1"/>
  <c r="D17" i="11" s="1"/>
  <c r="F17" i="11" s="1"/>
  <c r="I26" i="10"/>
  <c r="L24" i="10"/>
  <c r="E18" i="10"/>
  <c r="F18" i="10" s="1"/>
  <c r="F23" i="10" l="1"/>
  <c r="G18" i="10"/>
  <c r="D15" i="11" s="1"/>
  <c r="F15" i="11" s="1"/>
  <c r="F20" i="11" s="1"/>
  <c r="F21" i="11" l="1"/>
  <c r="F25" i="10"/>
  <c r="I31" i="10"/>
  <c r="C10" i="9"/>
  <c r="E10" i="9"/>
  <c r="C12" i="7" l="1"/>
  <c r="D12" i="7" s="1"/>
  <c r="F10" i="9"/>
  <c r="D13" i="7"/>
  <c r="D14" i="7"/>
  <c r="D16" i="7"/>
  <c r="D51" i="6"/>
  <c r="F51" i="6" s="1"/>
  <c r="H29" i="6"/>
  <c r="H24" i="6"/>
  <c r="H23" i="6"/>
  <c r="H22" i="6"/>
  <c r="G21" i="6"/>
  <c r="H21" i="6" s="1"/>
  <c r="H20" i="6"/>
  <c r="H19" i="6"/>
  <c r="H18" i="6"/>
  <c r="H17" i="6"/>
  <c r="E16" i="6"/>
  <c r="F15" i="6"/>
  <c r="H15" i="6" s="1"/>
  <c r="H14" i="6"/>
  <c r="G13" i="6"/>
  <c r="H13" i="6" s="1"/>
  <c r="F12" i="6"/>
  <c r="H12" i="6" s="1"/>
  <c r="H11" i="6"/>
  <c r="K10" i="6"/>
  <c r="H10" i="6"/>
  <c r="H9" i="6"/>
  <c r="E8" i="6"/>
  <c r="E25" i="6" s="1"/>
  <c r="J12" i="6"/>
  <c r="J24" i="6"/>
  <c r="J11" i="6"/>
  <c r="J10" i="6"/>
  <c r="J13" i="6"/>
  <c r="J20" i="6"/>
  <c r="J8" i="6"/>
  <c r="J18" i="6"/>
  <c r="J9" i="6"/>
  <c r="J15" i="6"/>
  <c r="J21" i="6"/>
  <c r="J14" i="6"/>
  <c r="J19" i="6"/>
  <c r="J17" i="6"/>
  <c r="J22" i="6"/>
  <c r="D50" i="6" l="1"/>
  <c r="F50" i="6" s="1"/>
  <c r="E36" i="6"/>
  <c r="E37" i="6" s="1"/>
  <c r="E28" i="6"/>
  <c r="H16" i="6"/>
  <c r="H8" i="6"/>
  <c r="D49" i="6"/>
  <c r="F49" i="6" s="1"/>
  <c r="B28" i="4"/>
  <c r="C30" i="4"/>
  <c r="C31" i="4" s="1"/>
  <c r="H18" i="3"/>
  <c r="E17" i="3"/>
  <c r="H17" i="3" s="1"/>
  <c r="F10" i="3"/>
  <c r="E10" i="3" s="1"/>
  <c r="F12" i="3" s="1"/>
  <c r="H20" i="4"/>
  <c r="E19" i="4"/>
  <c r="H19" i="4" s="1"/>
  <c r="H9" i="3"/>
  <c r="H14" i="3"/>
  <c r="G12" i="3"/>
  <c r="H12" i="3" l="1"/>
  <c r="H28" i="6"/>
  <c r="D56" i="6"/>
  <c r="D55" i="6" s="1"/>
  <c r="H25" i="6"/>
  <c r="E30" i="6" s="1"/>
  <c r="H30" i="6" s="1"/>
  <c r="D52" i="6"/>
  <c r="H10" i="3"/>
  <c r="E9" i="3"/>
  <c r="E8" i="3" s="1"/>
  <c r="F52" i="6" l="1"/>
  <c r="D57" i="6" s="1"/>
  <c r="D53" i="6"/>
  <c r="F53" i="6" s="1"/>
  <c r="E31" i="6"/>
  <c r="H31" i="6" s="1"/>
  <c r="F13" i="3"/>
  <c r="H13" i="3" s="1"/>
  <c r="F11" i="3"/>
  <c r="H11" i="3" s="1"/>
  <c r="E9" i="4"/>
  <c r="E10" i="4"/>
  <c r="H8" i="3" l="1"/>
  <c r="E19" i="3" s="1"/>
  <c r="D58" i="6"/>
  <c r="D54" i="6"/>
  <c r="F54" i="6" s="1"/>
  <c r="D59" i="6" s="1"/>
  <c r="E32" i="6"/>
  <c r="H32" i="6" s="1"/>
  <c r="C9" i="7" s="1"/>
  <c r="D9" i="7" s="1"/>
  <c r="E20" i="3"/>
  <c r="H20" i="3" s="1"/>
  <c r="H19" i="3"/>
  <c r="F13" i="4"/>
  <c r="E8" i="4"/>
  <c r="F14" i="4"/>
  <c r="F12" i="4"/>
  <c r="E21" i="3" l="1"/>
  <c r="H21" i="3" s="1"/>
  <c r="C11" i="7" s="1"/>
  <c r="D11" i="7" s="1"/>
  <c r="H15" i="4" l="1"/>
  <c r="G13" i="4"/>
  <c r="H13" i="4" s="1"/>
  <c r="H11" i="4"/>
  <c r="H14" i="4"/>
  <c r="H12" i="4"/>
  <c r="H10" i="4"/>
  <c r="H9" i="4"/>
  <c r="A3" i="2"/>
  <c r="B3" i="2"/>
  <c r="C3" i="2"/>
  <c r="D3" i="2"/>
  <c r="E3" i="2"/>
  <c r="F3" i="2"/>
  <c r="G3" i="2"/>
  <c r="H3" i="2"/>
  <c r="J3" i="2"/>
  <c r="L3" i="2"/>
  <c r="L25" i="2" s="1"/>
  <c r="A4" i="2"/>
  <c r="B4" i="2"/>
  <c r="C4" i="2"/>
  <c r="D4" i="2"/>
  <c r="E4" i="2"/>
  <c r="F4" i="2"/>
  <c r="G4" i="2"/>
  <c r="H4" i="2"/>
  <c r="A5" i="2"/>
  <c r="B5" i="2"/>
  <c r="C5" i="2"/>
  <c r="D5" i="2"/>
  <c r="E5" i="2"/>
  <c r="F5" i="2"/>
  <c r="G5" i="2"/>
  <c r="B6" i="2"/>
  <c r="C6" i="2"/>
  <c r="D6" i="2"/>
  <c r="E6" i="2"/>
  <c r="F6" i="2"/>
  <c r="H6" i="2"/>
  <c r="C7" i="2"/>
  <c r="D7" i="2"/>
  <c r="E7" i="2"/>
  <c r="C8" i="2"/>
  <c r="D8" i="2"/>
  <c r="E8" i="2"/>
  <c r="H8" i="2"/>
  <c r="C9" i="2"/>
  <c r="D9" i="2"/>
  <c r="C10" i="2"/>
  <c r="C11" i="2"/>
  <c r="C12" i="2"/>
  <c r="C13" i="2"/>
  <c r="E13" i="2"/>
  <c r="C14" i="2"/>
  <c r="E15" i="2"/>
  <c r="C16" i="2"/>
  <c r="C20" i="2"/>
  <c r="E21" i="2"/>
  <c r="C22" i="2"/>
  <c r="C23" i="2"/>
  <c r="G25" i="2"/>
  <c r="I25" i="2"/>
  <c r="J25" i="2"/>
  <c r="K25" i="2"/>
  <c r="M25" i="2"/>
  <c r="N25" i="2"/>
  <c r="E26" i="2"/>
  <c r="B28" i="2"/>
  <c r="C28" i="2"/>
  <c r="D28" i="2"/>
  <c r="E28" i="2"/>
  <c r="F28" i="2"/>
  <c r="J28" i="2"/>
  <c r="L28" i="2"/>
  <c r="N28" i="2"/>
  <c r="O28" i="2"/>
  <c r="P28" i="2"/>
  <c r="A29" i="2"/>
  <c r="B29" i="2"/>
  <c r="C29" i="2"/>
  <c r="F29" i="2"/>
  <c r="L29" i="2"/>
  <c r="N29" i="2"/>
  <c r="S29" i="2"/>
  <c r="A30" i="2"/>
  <c r="B30" i="2"/>
  <c r="C30" i="2"/>
  <c r="H30" i="2"/>
  <c r="N30" i="2"/>
  <c r="C31" i="2"/>
  <c r="N31" i="2"/>
  <c r="L32" i="2"/>
  <c r="N32" i="2"/>
  <c r="P32" i="2"/>
  <c r="B33" i="2"/>
  <c r="C33" i="2"/>
  <c r="N33" i="2"/>
  <c r="C34" i="2"/>
  <c r="B35" i="2"/>
  <c r="B36" i="2"/>
  <c r="B38" i="2"/>
  <c r="D38" i="2"/>
  <c r="B40" i="2"/>
  <c r="B41" i="2"/>
  <c r="N41" i="2"/>
  <c r="D42" i="2"/>
  <c r="N42" i="2"/>
  <c r="D47" i="2"/>
  <c r="N47" i="2"/>
  <c r="C48" i="2"/>
  <c r="C50" i="2"/>
  <c r="N52" i="2"/>
  <c r="C53" i="2"/>
  <c r="N53" i="2"/>
  <c r="N54" i="2"/>
  <c r="C58" i="2"/>
  <c r="C61" i="2"/>
  <c r="D68" i="2"/>
  <c r="D82" i="2"/>
  <c r="D85" i="2"/>
  <c r="D96" i="2"/>
  <c r="D101" i="2"/>
  <c r="A25" i="2" l="1"/>
  <c r="P17" i="2" s="1"/>
  <c r="F25" i="2"/>
  <c r="B25" i="2"/>
  <c r="C25" i="2"/>
  <c r="P18" i="2" s="1"/>
  <c r="H25" i="2"/>
  <c r="E25" i="2"/>
  <c r="P16" i="2" s="1"/>
  <c r="D25" i="2"/>
  <c r="P15" i="2" s="1"/>
  <c r="H8" i="4"/>
  <c r="E21" i="4" s="1"/>
  <c r="E22" i="4" l="1"/>
  <c r="H22" i="4" s="1"/>
  <c r="H21" i="4"/>
  <c r="E23" i="4" l="1"/>
  <c r="H23" i="4" s="1"/>
  <c r="C10" i="7" s="1"/>
  <c r="D10" i="7" l="1"/>
  <c r="D8" i="7" s="1"/>
  <c r="D15" i="7" s="1"/>
  <c r="D17" i="7" s="1"/>
  <c r="I8" i="13" s="1"/>
  <c r="C8" i="7"/>
  <c r="C15" i="7" s="1"/>
  <c r="C17" i="7" s="1"/>
  <c r="J20" i="4"/>
  <c r="I9" i="13" l="1"/>
  <c r="C18" i="7"/>
  <c r="C19" i="7" s="1"/>
  <c r="D18" i="7"/>
  <c r="I10" i="13" s="1"/>
  <c r="D8" i="13" l="1"/>
  <c r="I11" i="13"/>
  <c r="D19" i="7"/>
  <c r="D7" i="13" s="1"/>
  <c r="D9" i="13" s="1"/>
</calcChain>
</file>

<file path=xl/sharedStrings.xml><?xml version="1.0" encoding="utf-8"?>
<sst xmlns="http://schemas.openxmlformats.org/spreadsheetml/2006/main" count="441" uniqueCount="222">
  <si>
    <t>CỘNG HÒA XÃ HỘI CHỦ NGHĨA VIỆT NAM</t>
  </si>
  <si>
    <t>Độc lập - Tự do - Hạnh phúc</t>
  </si>
  <si>
    <t>TT</t>
  </si>
  <si>
    <t xml:space="preserve">Diện tích đất thu hồi </t>
  </si>
  <si>
    <t>Đất màu</t>
  </si>
  <si>
    <t>Đơn  giá (đồng)</t>
  </si>
  <si>
    <t>Thành tiền (đồng)</t>
  </si>
  <si>
    <t>Ghi chú</t>
  </si>
  <si>
    <t>Tên các hạng mục bồi thường, hỗ trợ.</t>
  </si>
  <si>
    <t>FIBRO</t>
  </si>
  <si>
    <t>MÁI CHE</t>
  </si>
  <si>
    <t>CHUỒNG TRẠI</t>
  </si>
  <si>
    <t>N ĐỎ</t>
  </si>
  <si>
    <t>TÔN</t>
  </si>
  <si>
    <t>HỒ</t>
  </si>
  <si>
    <t>XẾP ĐÁ</t>
  </si>
  <si>
    <t>HRX</t>
  </si>
  <si>
    <t>CAM</t>
  </si>
  <si>
    <t>HÀO</t>
  </si>
  <si>
    <t>TH GAI</t>
  </si>
  <si>
    <t>SÂN</t>
  </si>
  <si>
    <t>SÂN NHỰA</t>
  </si>
  <si>
    <t>BT</t>
  </si>
  <si>
    <t>BỂ</t>
  </si>
  <si>
    <t>B40</t>
  </si>
  <si>
    <t>NĐ</t>
  </si>
  <si>
    <t>Cây cối, hoa màu trên đất</t>
  </si>
  <si>
    <t>Chính sách hỗ trợ</t>
  </si>
  <si>
    <t>Nhà cửa, vật kiến trúc</t>
  </si>
  <si>
    <t>Số lượng</t>
  </si>
  <si>
    <t>Đơn vị tính</t>
  </si>
  <si>
    <t>m2</t>
  </si>
  <si>
    <t>Khẩu</t>
  </si>
  <si>
    <t>Hộ</t>
  </si>
  <si>
    <t>Cây</t>
  </si>
  <si>
    <t>B</t>
  </si>
  <si>
    <t>Diện tích đất thu hồi (m2)</t>
  </si>
  <si>
    <t>Đất lâm nghiệp</t>
  </si>
  <si>
    <t>Lạc trên đất</t>
  </si>
  <si>
    <t>Hỗ trợ chuyển đổi nghề đất màu</t>
  </si>
  <si>
    <t>Hỗ trợ chuyển đổi nghề đất lâm nghiệp</t>
  </si>
  <si>
    <t>Cây lâm nghiệp</t>
  </si>
  <si>
    <t>TĐC TẠI PHƯỜNG KỲ THỊNH; TĐC TẠI PHƯỜNG HƯNG TRÍ VÀ PHƯỜNG KỲ TRINH</t>
  </si>
  <si>
    <t>Kinh phí rà phá bom mìn, vật nổ</t>
  </si>
  <si>
    <t>Kinh phí cắm mốc đo vẽ bản đồ địa chính</t>
  </si>
  <si>
    <t>Kinh phí bồi thường, hỗ trợ</t>
  </si>
  <si>
    <t>Kinh phí tổ chức thực hiện (2%)</t>
  </si>
  <si>
    <t>ỦY BAN NHÂN DÂN</t>
  </si>
  <si>
    <t>THỊ XÃ KỲ ANH</t>
  </si>
  <si>
    <t>Đất khe suối, giao thông</t>
  </si>
  <si>
    <t>Tổng</t>
  </si>
  <si>
    <t>KINH PHÍ THỰC HIỆN KHU TĐC TẠI KỲ TRINH (DỰ TOÁN)</t>
  </si>
  <si>
    <t>KHU VỰC MỞ RỘNG NGHĨA TRANG XÃ KỲ LỢI TẠI PHƯỜNG KỲ TRINH, THỊ XÃ KỲ ANH</t>
  </si>
  <si>
    <t xml:space="preserve">Tổng </t>
  </si>
  <si>
    <t>KINH PHÍ THỰC HIỆN KHU TĐC TẠI KỲ TRINH (DỰ TOÁN) - VNĐ</t>
  </si>
  <si>
    <t>Làm tròn</t>
  </si>
  <si>
    <t>DI DỜI THÔN HẢI PHONG, XÃ KỲ LỢI, THỊ XÃ KỲ ANH</t>
  </si>
  <si>
    <t>I</t>
  </si>
  <si>
    <t xml:space="preserve">ĐẤT NÔNG NGHIỆP </t>
  </si>
  <si>
    <t>Đất lúa</t>
  </si>
  <si>
    <t>Đất LN</t>
  </si>
  <si>
    <t>Hỗ trợ chuyển đổi nghề lúa, màu</t>
  </si>
  <si>
    <t>Hỗ trợ ổn định đời sống</t>
  </si>
  <si>
    <t xml:space="preserve">Hỗ trợ khác (thương bệnh binh, gia đình chính sách….) </t>
  </si>
  <si>
    <t>Lúa trên đất</t>
  </si>
  <si>
    <t>II</t>
  </si>
  <si>
    <t>ĐẤT PHI NÔNG NGHIỆP</t>
  </si>
  <si>
    <t>Đất ở, vườn</t>
  </si>
  <si>
    <t>Tính trung bình mỗi hộ 1,2 tỷ</t>
  </si>
  <si>
    <t>Hỗ trợ di chuyển</t>
  </si>
  <si>
    <t xml:space="preserve">Hỗ trợ làm lán trại tạm </t>
  </si>
  <si>
    <t xml:space="preserve">Hỗ trợ ổn định đời sống </t>
  </si>
  <si>
    <t>Thuyền lưới, nghư cụ…</t>
  </si>
  <si>
    <t>Mồ mả</t>
  </si>
  <si>
    <t>Cái</t>
  </si>
  <si>
    <t>Cây ăn quả</t>
  </si>
  <si>
    <t>TỔNG CỘNG (A+B)</t>
  </si>
  <si>
    <t>KINH PHÍ THỰC HIỆN (DỰ TOÁN)</t>
  </si>
  <si>
    <t>DIỆN TÍCH ĐẤT</t>
  </si>
  <si>
    <t>Tổng diện tích</t>
  </si>
  <si>
    <t>Diện tích đất bồi thường hỗ trợ</t>
  </si>
  <si>
    <t>diện tích đất đã thu hồi, giao thông, sông suối</t>
  </si>
  <si>
    <t>Phân kỳ đầu tư</t>
  </si>
  <si>
    <t>Giai đoạn 1:</t>
  </si>
  <si>
    <t>- Rà phá bom mìn đất nông nghiệp:</t>
  </si>
  <si>
    <t>- Kinh phí cắm mốc đo vẽ:</t>
  </si>
  <si>
    <t>- Bồi thường đất nông nghiệp:</t>
  </si>
  <si>
    <t>- Kinh phí tổ chức thực hiện (2%):</t>
  </si>
  <si>
    <t xml:space="preserve">- Kinh phí dự phòng (15%): </t>
  </si>
  <si>
    <t>Giai đoạn 2:</t>
  </si>
  <si>
    <t>- Rà phá bom mìn đất PNN:</t>
  </si>
  <si>
    <t>- Kinh phí bồi thường đất PNN:</t>
  </si>
  <si>
    <t>- Kinh phí dự phòng (15%):</t>
  </si>
  <si>
    <t>Tổng cộng</t>
  </si>
  <si>
    <t>Định mức</t>
  </si>
  <si>
    <t>đồng</t>
  </si>
  <si>
    <t>Triệu đồng</t>
  </si>
  <si>
    <t>Stt</t>
  </si>
  <si>
    <t>Đơn vị</t>
  </si>
  <si>
    <t>Giá trị</t>
  </si>
  <si>
    <t>Đồng</t>
  </si>
  <si>
    <t>Nội dung</t>
  </si>
  <si>
    <t xml:space="preserve">- Kinh phí đầu tư xây dựng tái định cư: </t>
  </si>
  <si>
    <t xml:space="preserve">- Kinh phí đầu tư xây dựng nghĩa trang: </t>
  </si>
  <si>
    <t xml:space="preserve">- Kinh phí đề án đào tạo nghề, giải quyết việc làm: </t>
  </si>
  <si>
    <r>
      <t>- Khấu trừ kinh phí tiền sử dụng đất tái định cư (theo giá đất tạm tính là 660.000 đồng/m</t>
    </r>
    <r>
      <rPr>
        <vertAlign val="superscript"/>
        <sz val="14"/>
        <color indexed="8"/>
        <rFont val="Times New Roman"/>
        <family val="1"/>
      </rPr>
      <t>2</t>
    </r>
    <r>
      <rPr>
        <sz val="14"/>
        <color indexed="8"/>
        <rFont val="Times New Roman"/>
        <family val="1"/>
      </rPr>
      <t xml:space="preserve">): </t>
    </r>
  </si>
  <si>
    <t xml:space="preserve">PHỤ LỤC 3: BẢNG TỔNG MỨC ĐẦU TƯ BỒI THƯỜNG, HỖ TRỢ </t>
  </si>
  <si>
    <t xml:space="preserve">Đơn vị </t>
  </si>
  <si>
    <t>PHỤ LỤC 1</t>
  </si>
  <si>
    <t>Thôn Hải Phong 1</t>
  </si>
  <si>
    <t>Thôn Hải Phong 2</t>
  </si>
  <si>
    <t>Số hộ gốc</t>
  </si>
  <si>
    <t>BẢNG SỐ LIỆU THỐNG KÊ DIỆN TÍCH CÁC LOẠI ĐẤT HIỆN TRẠNG</t>
  </si>
  <si>
    <t>GHI CHÚ:</t>
  </si>
  <si>
    <t xml:space="preserve"> - Loại 1: diện tích từ 0-70m2</t>
  </si>
  <si>
    <t>hộ</t>
  </si>
  <si>
    <t xml:space="preserve"> - Loại 2: diện tích từ 70-180m2</t>
  </si>
  <si>
    <t xml:space="preserve"> - Loại 3: diện tích từ 180-250m2</t>
  </si>
  <si>
    <t xml:space="preserve"> - Loại 4: diện tích từ 250-350m2</t>
  </si>
  <si>
    <t xml:space="preserve"> - Loại 5: diện tích từ 350m2 trở lên</t>
  </si>
  <si>
    <t>PHƯƠNG ÁN QUY HOẠCH</t>
  </si>
  <si>
    <t>Phương án</t>
  </si>
  <si>
    <t xml:space="preserve"> - Diện tích đất hiện trạng &lt;250m2 PA quy hoạch:</t>
  </si>
  <si>
    <t xml:space="preserve"> - 250m2&lt;= Diện tích đất hiện trạng &lt;350m2 PA quy hoạch:</t>
  </si>
  <si>
    <t xml:space="preserve"> - Diện tích đất hiện trạng &gt;= 350m2 PA quy hoạch:</t>
  </si>
  <si>
    <t>Số lượng (lô)</t>
  </si>
  <si>
    <t>Diện tích đất ở (tỉ lệ 40%) m2</t>
  </si>
  <si>
    <t>Diện tích đất giao thông, cây xanh, các công trình phụ trợ (tỷ lệ 60%) m2</t>
  </si>
  <si>
    <t>Tổng diện tích đất QH (m2)</t>
  </si>
  <si>
    <t>TB diện tích 1 lô (m2)</t>
  </si>
  <si>
    <t>Hải phong</t>
  </si>
  <si>
    <t>Hải Thanh</t>
  </si>
  <si>
    <t>Lô đất có diện tích 300m2</t>
  </si>
  <si>
    <t>Diện tích đất hiện trạng còn lại</t>
  </si>
  <si>
    <t>Phần diện tích đất QH còn thiếu</t>
  </si>
  <si>
    <t xml:space="preserve"> - Theo Định mức quy định tại bảng 51 Quyết định số 44/QĐ-BXD ngày 14/01/2020: suất vốn đầu tư 8.797 triệu đồng/ha; tương đương suất đầu tư 879.700 đồng/m2.</t>
  </si>
  <si>
    <t>triệu đồng/m2</t>
  </si>
  <si>
    <t xml:space="preserve"> - Dự toán định mức bồi thường, GPMB đất để xây dựng tái định cư: 159.600 đồng/m2 (theo mức đền bù tương đương)</t>
  </si>
  <si>
    <t xml:space="preserve"> - Dự án xây dựng mở rộng nghĩa trang với diện tích khoảng 2,5ha, dự kiến tổng mức 16.667 triệu đồng (tính theo mức đầu tư dự án tương đương)</t>
  </si>
  <si>
    <t>triệu đồng</t>
  </si>
  <si>
    <t xml:space="preserve"> - Khái toán di dời, hỗ trợ 1157 hộ dân (không kể phần mồ mả) hết 1.768.882 triệu đồng. Tương ứng định mức di dời, hỗ trợ 01 hộ dân hết 1.528,9 triệu đồng</t>
  </si>
  <si>
    <t xml:space="preserve"> - Định mức bồi thường, hỗ trợ, di dời mỗi ngôi mộ hết 20 triệu đồng</t>
  </si>
  <si>
    <t>Nghĩa trang</t>
  </si>
  <si>
    <t>ha</t>
  </si>
  <si>
    <t>ngôi</t>
  </si>
  <si>
    <t>PHỤ LỤC 2: BẢNG TỔNG HỢP QUY HOẠCH CÁC LÔ ĐẤT Ở TÁI ĐỊNH CƯ</t>
  </si>
  <si>
    <t>Phụ Lục 4</t>
  </si>
  <si>
    <t>Phụ Lục 5</t>
  </si>
  <si>
    <t xml:space="preserve">PHỤ LỤC 4: BẢNG TỔNG HỢP DỰ TOÁN PHƯƠNG ÁN BỒI THƯỜNG, HỖ TRỢ </t>
  </si>
  <si>
    <t xml:space="preserve">PHỤ LỤC 5: BẢNG TỔNG HỢP DỰ TOÁN PHƯƠNG ÁN BỒI THƯỜNG, HỖ TRỢ </t>
  </si>
  <si>
    <t>Kinh phí thực hiện bồi thường, hỗ trợ, GPMB</t>
  </si>
  <si>
    <t>1.1</t>
  </si>
  <si>
    <t>Khu vực di dời thôn Hải Phong 1 và Hải Phong 2:</t>
  </si>
  <si>
    <t>Khu vực tái định cư phường Hưng Trí và Kỳ Trinh:</t>
  </si>
  <si>
    <t>Khu vực mở rộng nghĩa trang</t>
  </si>
  <si>
    <t>Phụ Lục 6</t>
  </si>
  <si>
    <t>PHƯƠNG ÁN XÂY DỰNG HẠ TẦNG TÁI ĐỊNH CƯ</t>
  </si>
  <si>
    <t xml:space="preserve"> - Diện tích đất ơ hiện trạng &lt;250m2 phương án quy hoạch:</t>
  </si>
  <si>
    <t xml:space="preserve"> - 250m2&lt;= Diện tích ơ đất hiện trạng &lt;350m2 phương án quy hoạch:</t>
  </si>
  <si>
    <t xml:space="preserve"> - Diện tích đất ở hiện trạng &gt;= 350m2 phương án quy hoạch:</t>
  </si>
  <si>
    <t>PHỤ LỤC 7: BẢNG TỔNG HỢP KINH PHÍ XÂY DỰNG TÁI ĐỊNH CƯ</t>
  </si>
  <si>
    <t>Diện tích trung bình 1 lô (m2)</t>
  </si>
  <si>
    <t>Suất vốn xây dựng (đồng/m2)</t>
  </si>
  <si>
    <t>(1)</t>
  </si>
  <si>
    <t>(2)</t>
  </si>
  <si>
    <t>(3)</t>
  </si>
  <si>
    <t>(4)</t>
  </si>
  <si>
    <t>(5)</t>
  </si>
  <si>
    <t>(6)=(3)*(4)*(5)</t>
  </si>
  <si>
    <t>(7)</t>
  </si>
  <si>
    <t>Bình quân suất xây dựng hạ tầng</t>
  </si>
  <si>
    <t>Phụ Lục 7</t>
  </si>
  <si>
    <t>PHỤ LỤC 8: BẢNG TỔNG HỢP KINH PHÍ KHẤU TRỪ TIỀN SỬ DỤNG HẠ TẦNG TÁI ĐỊNH CƯ</t>
  </si>
  <si>
    <t>Giá đất tạm tính</t>
  </si>
  <si>
    <t>Thành tiền khấu trừ (đồng)</t>
  </si>
  <si>
    <t>Ghi chú: Giá đất cụ thể tạm tính được xác định dựa trên cơ sở chứng thư thẩm định giá cho khu vực tái định cư thôn Tân Phúc Thành tại phường Kỳ Trinh.</t>
  </si>
  <si>
    <t>Phụ Lục 8</t>
  </si>
  <si>
    <t xml:space="preserve">Giai đoạn </t>
  </si>
  <si>
    <t>Nội dung thực hiện</t>
  </si>
  <si>
    <t>Kinh phí</t>
  </si>
  <si>
    <t>Tổng mức đầu tư</t>
  </si>
  <si>
    <t>PHỤ LỤC 9: PHÂN KỲ ĐẦU TƯ THỰC HIỆN</t>
  </si>
  <si>
    <t>Chi phí dự phòng 5%</t>
  </si>
  <si>
    <t>III</t>
  </si>
  <si>
    <t>Dự kiến số nhân khẩu đủ điều kiện tách hộ đến năm 2025</t>
  </si>
  <si>
    <t>SỐ LIỆU ĐIỀU TRA DÂN SỐ THÔN HẢI PHONG 1 VÀ HẢI PHONG 2, XÃ KỲ LỢI</t>
  </si>
  <si>
    <t>Số hộ thế hệ thứ 2, 3 đang ở cùng bố mẹ</t>
  </si>
  <si>
    <t>(Phụ lục 10)</t>
  </si>
  <si>
    <t>Loại đất</t>
  </si>
  <si>
    <t>Theo QĐ1884</t>
  </si>
  <si>
    <t>Theo PA tính toán lại</t>
  </si>
  <si>
    <t>Diện tích (m2)</t>
  </si>
  <si>
    <t>tỷ lệ %</t>
  </si>
  <si>
    <t>Đất ở</t>
  </si>
  <si>
    <t>Đất công cộng (nhà văn hóa)</t>
  </si>
  <si>
    <t>Đất dịch vụ thương mại</t>
  </si>
  <si>
    <t>Đất cây xanh</t>
  </si>
  <si>
    <t>Đất mặt nước 1</t>
  </si>
  <si>
    <t>Đất XD HTKT (khu XLNT)</t>
  </si>
  <si>
    <t>Quỹ đất XD ga đường sắt cao tốc và các công trình dịch vụ phụ trợ</t>
  </si>
  <si>
    <t>Đất XD hành lang đường sắt</t>
  </si>
  <si>
    <t>Đất giao thông</t>
  </si>
  <si>
    <t>Kết luận: Sau khi điều chỉnh giảm diện tích đất XD ga đường sắt, cao tốc và đất XD hành lang đường sắt; giảm diện tích đất cây xanh phù hợp thì tỷ lệ đất ở chiếm khoảng 40%</t>
  </si>
  <si>
    <t>PHỤ LỤC 10: BẢNG TÍNH TOÁN TỶ LỆ VÀ DIỆN TÍCH ĐẤT CÒN LẠI</t>
  </si>
  <si>
    <t xml:space="preserve"> - Số hộ thế hệ thứ 2, 3 đang ở cùng bố mẹ</t>
  </si>
  <si>
    <t xml:space="preserve"> - Số hộ thế hệ thứ 2, 3 dự kiến tách hộ đến năm 2025</t>
  </si>
  <si>
    <t xml:space="preserve">PHỤ LỤC 6: BẢNG TỔNG HỢP DỰ TOÁN PHƯƠNG ÁN BỒI THƯỜNG, HỖ TRỢ </t>
  </si>
  <si>
    <t>Ghi chú: Theo Định mức quy định tại bảng 42 Quyết định số 65/QĐ-BXD ngày 20/01/2021: suất vốn đầu tư xây dựng công trình hạ tầng kỹ thuật khu đô thị có quy mô nhỏ là 7.060 triệu đồng/ha; tương đương suất đầu tư 706.000 đồng/m2.</t>
  </si>
  <si>
    <t>Lô đất có diện tích 200m2 (gồm 111 lô cho các hộ dân có diện tích đất ở hiện trạng &lt;250m2)</t>
  </si>
  <si>
    <t xml:space="preserve"> - Số hộ thế hệ thứ 2 và thứ 3</t>
  </si>
  <si>
    <t xml:space="preserve"> - Số hộ dân bị sạt lở nghiêm trọng cần phải di dời khẩn cấp</t>
  </si>
  <si>
    <t>Lô đất có diện tích 400m2 (không tính đến 20 hộ bị sạt lở nghiêm trọng đã được lập DA xây dựng hạ tầng di dời khẩn cấp)</t>
  </si>
  <si>
    <t>Diện tích xây dựng hạ tầng khẩn cấp 20 hộ</t>
  </si>
  <si>
    <t>Lô đất có diện tích 180m2 (dành cho các hộ dân thế hệ thứ 2, 3)</t>
  </si>
  <si>
    <t xml:space="preserve"> - Số lô quy hoạch 70m2</t>
  </si>
  <si>
    <t>Lô đất có diện tích 70m2</t>
  </si>
  <si>
    <t xml:space="preserve"> - Số lô diện tích 70m2</t>
  </si>
  <si>
    <t>Bằng chữ: Hai nghìn, một trăm ba mươi chín tỷ, sáu trăm tám mươi ba triệu đồng chẵn.</t>
  </si>
  <si>
    <t>Năm 2022-2023</t>
  </si>
  <si>
    <t>Thực hiện việc đầu tư xây dựng Khu nghĩa trang tái định cư; xây dựng hạ tầng tái định cư đáp ứng thực hiện việc di dời, bồi thường, hỗ trợ, tái định cư cho 220 hộ dân thôn Hải Phong 1 và Hải Phong 2 bị ảnh hưởng bởi sạt lở và bị ảnh hưởng do quá trình nạo hút, thi công cầu cảng số 3; 4; 5; 6 và thi công nhà máy nhiệt điện Vũng Áng 2.</t>
  </si>
  <si>
    <t>Thực hiện việc đầu tư xây dựng hạ tầng tái định cư đáp ứng thực hiện việc di dời, bồi thường, hỗ trợ, tái định cư cho 651 hộ dân còn lại của thôn Hải Phong 1 và Hải Phong 2 để tạo mặt bằng sạch phục vụ quy hoạch Logistics, khu phi thuế quan để thu hút các nhà đầu tư. Đồng thời triển khai xây dựng Đề án đào tạo nghề, chuyển đổi việc làm tổng thể nhằm ổn định đời sống cho Nhân dân lên tái định cư.</t>
  </si>
  <si>
    <t>Năm 2024-2025 và sau năm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</si>
</sst>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0"/>
    <numFmt numFmtId="165" formatCode="_-* #,##0\ _?_-;\-* #,##0\ _?_-;_-* &quot;-&quot;??\ _?_-;_-@_-"/>
    <numFmt numFmtId="166" formatCode="_(* #,##0_);_(* \(#,##0\);_(* &quot;-&quot;??_);_(@_)"/>
    <numFmt numFmtId="167" formatCode="_-* #,##0\ _₫_-;\-* #,##0\ _₫_-;_-* &quot;-&quot;??\ _₫_-;_-@_-"/>
    <numFmt numFmtId="168" formatCode="_-* #,##0.000\ _₫_-;\-* #,##0.000\ _₫_-;_-* &quot;-&quot;??\ _₫_-;_-@_-"/>
    <numFmt numFmtId="169" formatCode="_-* #,##0.0\ _₫_-;\-* #,##0.0\ _₫_-;_-* &quot;-&quot;??\ _₫_-;_-@_-"/>
    <numFmt numFmtId="170" formatCode="0.0000"/>
    <numFmt numFmtId="171" formatCode="_(* #,##0.000_);_(* \(#,##0.000\);_(* &quot;-&quot;???_);_(@_)"/>
  </numFmts>
  <fonts count="49">
    <font>
      <sz val="11"/>
      <color indexed="8"/>
      <name val="Calibri"/>
      <family val="2"/>
    </font>
    <font>
      <b/>
      <sz val="11"/>
      <color indexed="8"/>
      <name val="Calibri"/>
      <family val="2"/>
    </font>
    <font>
      <sz val="11"/>
      <color indexed="10"/>
      <name val="Calibri"/>
      <family val="2"/>
    </font>
    <font>
      <sz val="14"/>
      <color indexed="8"/>
      <name val="Calibri"/>
      <family val="2"/>
    </font>
    <font>
      <b/>
      <sz val="14"/>
      <color indexed="8"/>
      <name val="Times New Roman"/>
      <family val="1"/>
      <charset val="163"/>
    </font>
    <font>
      <sz val="14"/>
      <color indexed="8"/>
      <name val="Times New Roman"/>
      <family val="1"/>
      <charset val="163"/>
    </font>
    <font>
      <b/>
      <u/>
      <sz val="14"/>
      <color indexed="8"/>
      <name val="Times New Roman"/>
      <family val="1"/>
      <charset val="163"/>
    </font>
    <font>
      <b/>
      <sz val="13"/>
      <color indexed="8"/>
      <name val="Times New Roman"/>
      <family val="1"/>
      <charset val="163"/>
    </font>
    <font>
      <sz val="12"/>
      <color indexed="8"/>
      <name val=".VnTimeH"/>
      <family val="2"/>
    </font>
    <font>
      <sz val="12"/>
      <color indexed="8"/>
      <name val="Calibri"/>
      <family val="2"/>
    </font>
    <font>
      <u/>
      <sz val="12"/>
      <color indexed="8"/>
      <name val="Calibri"/>
      <family val="2"/>
    </font>
    <font>
      <b/>
      <sz val="12"/>
      <color indexed="8"/>
      <name val="Times New Roman"/>
      <family val="1"/>
      <charset val="163"/>
    </font>
    <font>
      <sz val="12"/>
      <color indexed="8"/>
      <name val="Times New Roman"/>
      <family val="1"/>
      <charset val="163"/>
    </font>
    <font>
      <sz val="12"/>
      <name val="Times New Roman"/>
      <family val="1"/>
      <charset val="163"/>
    </font>
    <font>
      <i/>
      <sz val="12"/>
      <color indexed="10"/>
      <name val="Times New Roman"/>
      <family val="1"/>
      <charset val="163"/>
    </font>
    <font>
      <sz val="12"/>
      <name val="Times New Roman"/>
      <family val="1"/>
    </font>
    <font>
      <sz val="12"/>
      <color indexed="8"/>
      <name val="Cambria"/>
      <family val="1"/>
      <scheme val="major"/>
    </font>
    <font>
      <b/>
      <sz val="14"/>
      <color indexed="8"/>
      <name val="Times New Roman"/>
      <family val="1"/>
    </font>
    <font>
      <sz val="11"/>
      <color indexed="8"/>
      <name val="Calibri"/>
      <family val="2"/>
    </font>
    <font>
      <b/>
      <sz val="13"/>
      <color indexed="8"/>
      <name val="Times New Roman"/>
      <family val="1"/>
    </font>
    <font>
      <b/>
      <sz val="12"/>
      <color indexed="8"/>
      <name val="Times New Roman"/>
      <family val="1"/>
    </font>
    <font>
      <sz val="14"/>
      <color indexed="8"/>
      <name val="Times New Roman"/>
      <family val="1"/>
    </font>
    <font>
      <sz val="12"/>
      <color indexed="8"/>
      <name val="Times New Roman"/>
      <family val="1"/>
    </font>
    <font>
      <b/>
      <u/>
      <sz val="14"/>
      <color indexed="8"/>
      <name val="Times New Roman"/>
      <family val="1"/>
    </font>
    <font>
      <u/>
      <sz val="12"/>
      <color indexed="8"/>
      <name val="Times New Roman"/>
      <family val="1"/>
    </font>
    <font>
      <sz val="14"/>
      <color rgb="FFFF0000"/>
      <name val="Times New Roman"/>
      <family val="1"/>
    </font>
    <font>
      <b/>
      <sz val="12"/>
      <name val="Times New Roman"/>
      <family val="1"/>
    </font>
    <font>
      <i/>
      <sz val="12"/>
      <color indexed="10"/>
      <name val="Times New Roman"/>
      <family val="1"/>
    </font>
    <font>
      <i/>
      <sz val="14"/>
      <color indexed="8"/>
      <name val="Times New Roman"/>
      <family val="1"/>
    </font>
    <font>
      <vertAlign val="superscript"/>
      <sz val="14"/>
      <color indexed="8"/>
      <name val="Times New Roman"/>
      <family val="1"/>
    </font>
    <font>
      <b/>
      <i/>
      <sz val="14"/>
      <color indexed="8"/>
      <name val="Times New Roman"/>
      <family val="1"/>
    </font>
    <font>
      <b/>
      <sz val="14"/>
      <name val="Times New Roman"/>
      <family val="1"/>
    </font>
    <font>
      <sz val="14"/>
      <name val="Times New Roman"/>
      <family val="1"/>
    </font>
    <font>
      <b/>
      <sz val="11"/>
      <name val="Calibri"/>
      <family val="2"/>
      <charset val="163"/>
      <scheme val="minor"/>
    </font>
    <font>
      <b/>
      <i/>
      <sz val="14"/>
      <name val="Times New Roman"/>
      <family val="1"/>
    </font>
    <font>
      <i/>
      <sz val="14"/>
      <name val="Times New Roman"/>
      <family val="1"/>
    </font>
    <font>
      <b/>
      <sz val="13"/>
      <name val="Times New Roman"/>
      <family val="1"/>
    </font>
    <font>
      <sz val="14"/>
      <name val="Times New Roman"/>
      <family val="1"/>
      <charset val="163"/>
    </font>
    <font>
      <b/>
      <sz val="13"/>
      <name val="Times New Roman"/>
      <family val="1"/>
      <charset val="163"/>
    </font>
    <font>
      <sz val="12"/>
      <name val=".VnTimeH"/>
      <family val="2"/>
    </font>
    <font>
      <sz val="12"/>
      <name val="Calibri"/>
      <family val="2"/>
    </font>
    <font>
      <sz val="14"/>
      <name val="Calibri"/>
      <family val="2"/>
    </font>
    <font>
      <b/>
      <sz val="14"/>
      <name val="Times New Roman"/>
      <family val="1"/>
      <charset val="163"/>
    </font>
    <font>
      <b/>
      <u/>
      <sz val="14"/>
      <name val="Times New Roman"/>
      <family val="1"/>
      <charset val="163"/>
    </font>
    <font>
      <u/>
      <sz val="12"/>
      <name val="Calibri"/>
      <family val="2"/>
    </font>
    <font>
      <b/>
      <sz val="12"/>
      <name val="Times New Roman"/>
      <family val="1"/>
      <charset val="163"/>
    </font>
    <font>
      <sz val="12"/>
      <name val="Cambria"/>
      <family val="1"/>
      <scheme val="major"/>
    </font>
    <font>
      <i/>
      <sz val="12"/>
      <name val="Times New Roman"/>
      <family val="1"/>
      <charset val="163"/>
    </font>
    <font>
      <b/>
      <sz val="14"/>
      <name val="Calibri"/>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43" fontId="18" fillId="0" borderId="0" applyFont="0" applyFill="0" applyBorder="0" applyAlignment="0" applyProtection="0"/>
  </cellStyleXfs>
  <cellXfs count="350">
    <xf numFmtId="0" fontId="0" fillId="0" borderId="0" xfId="0"/>
    <xf numFmtId="0" fontId="3" fillId="0" borderId="0" xfId="0" applyFont="1"/>
    <xf numFmtId="0" fontId="4" fillId="0" borderId="0" xfId="0" applyFont="1"/>
    <xf numFmtId="0" fontId="3" fillId="0" borderId="0" xfId="0" applyFont="1" applyAlignment="1">
      <alignment horizontal="right"/>
    </xf>
    <xf numFmtId="0" fontId="0" fillId="0" borderId="1" xfId="0" applyBorder="1"/>
    <xf numFmtId="0" fontId="1" fillId="0" borderId="1" xfId="0" applyFont="1" applyBorder="1"/>
    <xf numFmtId="0" fontId="1" fillId="0" borderId="0" xfId="0" applyFont="1"/>
    <xf numFmtId="3" fontId="0" fillId="0" borderId="0" xfId="0" applyNumberFormat="1"/>
    <xf numFmtId="0" fontId="0" fillId="0" borderId="2" xfId="0" applyFill="1" applyBorder="1"/>
    <xf numFmtId="0" fontId="2" fillId="0" borderId="1" xfId="0" applyFont="1" applyBorder="1"/>
    <xf numFmtId="0" fontId="4" fillId="0" borderId="0" xfId="0" applyFont="1" applyAlignment="1"/>
    <xf numFmtId="0" fontId="9" fillId="0" borderId="0" xfId="0" applyFont="1"/>
    <xf numFmtId="0" fontId="10" fillId="0" borderId="0" xfId="0" applyFont="1"/>
    <xf numFmtId="0" fontId="8" fillId="0" borderId="0" xfId="0" applyFont="1" applyAlignment="1">
      <alignment horizontal="left" vertical="center" wrapText="1"/>
    </xf>
    <xf numFmtId="0" fontId="3" fillId="0" borderId="0" xfId="0" applyFont="1" applyAlignment="1"/>
    <xf numFmtId="0" fontId="3" fillId="0" borderId="0" xfId="0" applyFont="1" applyAlignment="1">
      <alignment horizontal="center"/>
    </xf>
    <xf numFmtId="0" fontId="3" fillId="0" borderId="0" xfId="0" applyFont="1" applyAlignment="1">
      <alignment horizontal="left"/>
    </xf>
    <xf numFmtId="0" fontId="4" fillId="0" borderId="0" xfId="0" applyFont="1" applyAlignment="1">
      <alignment horizontal="left"/>
    </xf>
    <xf numFmtId="0" fontId="4" fillId="0" borderId="0" xfId="0" applyFont="1" applyAlignment="1">
      <alignment horizontal="right"/>
    </xf>
    <xf numFmtId="0" fontId="11" fillId="0" borderId="3" xfId="0" applyFont="1" applyBorder="1" applyAlignment="1">
      <alignment vertical="center" wrapText="1"/>
    </xf>
    <xf numFmtId="0" fontId="11" fillId="0" borderId="4" xfId="0" applyFont="1" applyBorder="1" applyAlignment="1">
      <alignment horizontal="right" vertical="center" wrapText="1"/>
    </xf>
    <xf numFmtId="0" fontId="12" fillId="2" borderId="1" xfId="0" applyFont="1" applyFill="1" applyBorder="1" applyAlignment="1">
      <alignment vertical="center" wrapText="1"/>
    </xf>
    <xf numFmtId="164" fontId="12" fillId="2" borderId="1" xfId="0" applyNumberFormat="1" applyFont="1" applyFill="1" applyBorder="1" applyAlignment="1">
      <alignment vertical="center" wrapText="1"/>
    </xf>
    <xf numFmtId="3" fontId="13" fillId="2" borderId="1" xfId="0" applyNumberFormat="1" applyFont="1" applyFill="1" applyBorder="1" applyAlignment="1">
      <alignment horizontal="right" vertical="center" wrapText="1"/>
    </xf>
    <xf numFmtId="0" fontId="16" fillId="2" borderId="0" xfId="0" applyFont="1" applyFill="1" applyAlignment="1">
      <alignment horizontal="left" vertical="center" wrapText="1"/>
    </xf>
    <xf numFmtId="0" fontId="9" fillId="2" borderId="0" xfId="0" applyFont="1" applyFill="1"/>
    <xf numFmtId="0" fontId="3" fillId="2" borderId="0" xfId="0" applyFont="1" applyFill="1"/>
    <xf numFmtId="0" fontId="14"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3" fontId="12" fillId="2" borderId="1" xfId="0" applyNumberFormat="1" applyFont="1" applyFill="1" applyBorder="1" applyAlignment="1">
      <alignment horizontal="right" vertical="center" wrapText="1"/>
    </xf>
    <xf numFmtId="0" fontId="11" fillId="2" borderId="5" xfId="0" applyFont="1" applyFill="1" applyBorder="1" applyAlignment="1">
      <alignment horizontal="center" vertical="center"/>
    </xf>
    <xf numFmtId="164" fontId="11" fillId="2" borderId="4" xfId="0" applyNumberFormat="1" applyFont="1" applyFill="1" applyBorder="1" applyAlignment="1">
      <alignment horizontal="center" vertical="center"/>
    </xf>
    <xf numFmtId="0" fontId="11" fillId="2" borderId="4" xfId="0" applyFont="1" applyFill="1" applyBorder="1" applyAlignment="1">
      <alignment vertical="center" wrapText="1"/>
    </xf>
    <xf numFmtId="0" fontId="11" fillId="2" borderId="4" xfId="0" applyFont="1" applyFill="1" applyBorder="1" applyAlignment="1">
      <alignment horizontal="right" vertical="center" wrapText="1"/>
    </xf>
    <xf numFmtId="3" fontId="11" fillId="2" borderId="4" xfId="0" applyNumberFormat="1" applyFont="1" applyFill="1" applyBorder="1" applyAlignment="1">
      <alignment horizontal="right" vertical="center" wrapText="1"/>
    </xf>
    <xf numFmtId="0" fontId="11" fillId="2" borderId="4" xfId="0" applyFont="1" applyFill="1" applyBorder="1" applyAlignment="1">
      <alignment horizontal="center" vertical="center"/>
    </xf>
    <xf numFmtId="0" fontId="9" fillId="2" borderId="0" xfId="0" applyFont="1" applyFill="1" applyAlignment="1">
      <alignment horizontal="center"/>
    </xf>
    <xf numFmtId="0" fontId="3" fillId="2" borderId="0" xfId="0" applyFont="1" applyFill="1" applyAlignment="1">
      <alignment horizontal="center"/>
    </xf>
    <xf numFmtId="3" fontId="15" fillId="2" borderId="1" xfId="0" applyNumberFormat="1" applyFont="1" applyFill="1" applyBorder="1" applyAlignment="1">
      <alignment horizontal="right" vertical="center" wrapText="1"/>
    </xf>
    <xf numFmtId="3" fontId="15" fillId="0" borderId="1" xfId="0" applyNumberFormat="1" applyFont="1" applyBorder="1" applyAlignment="1">
      <alignment horizontal="right" vertical="center" wrapText="1"/>
    </xf>
    <xf numFmtId="0" fontId="11" fillId="0" borderId="4" xfId="0" applyFont="1" applyBorder="1" applyAlignment="1">
      <alignment horizontal="center" vertical="center"/>
    </xf>
    <xf numFmtId="0" fontId="11" fillId="0" borderId="4" xfId="0"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0" fontId="6" fillId="0" borderId="0" xfId="0" applyFont="1" applyAlignment="1">
      <alignment horizontal="center"/>
    </xf>
    <xf numFmtId="0" fontId="12" fillId="2" borderId="1" xfId="0" applyFont="1" applyFill="1" applyBorder="1" applyAlignment="1">
      <alignment horizontal="center" vertical="center" wrapText="1"/>
    </xf>
    <xf numFmtId="43" fontId="16" fillId="2" borderId="0" xfId="1" applyFont="1" applyFill="1" applyAlignment="1">
      <alignment horizontal="left" vertical="center" wrapText="1"/>
    </xf>
    <xf numFmtId="43" fontId="16" fillId="2" borderId="0" xfId="0" applyNumberFormat="1" applyFont="1" applyFill="1" applyAlignment="1">
      <alignment horizontal="left" vertical="center" wrapText="1"/>
    </xf>
    <xf numFmtId="3" fontId="8" fillId="0" borderId="0" xfId="0" applyNumberFormat="1" applyFont="1" applyAlignment="1">
      <alignment horizontal="left" vertical="center" wrapText="1"/>
    </xf>
    <xf numFmtId="0" fontId="20" fillId="0" borderId="1" xfId="0" applyFont="1" applyBorder="1" applyAlignment="1">
      <alignment horizontal="left"/>
    </xf>
    <xf numFmtId="164" fontId="12" fillId="2" borderId="1" xfId="0" applyNumberFormat="1" applyFont="1" applyFill="1" applyBorder="1" applyAlignment="1">
      <alignment horizontal="center" vertical="center" wrapText="1"/>
    </xf>
    <xf numFmtId="0" fontId="21" fillId="0" borderId="1" xfId="0" applyFont="1" applyBorder="1" applyAlignment="1">
      <alignment horizontal="center"/>
    </xf>
    <xf numFmtId="0" fontId="21" fillId="0" borderId="0" xfId="0" applyFont="1" applyAlignment="1">
      <alignment horizontal="center"/>
    </xf>
    <xf numFmtId="0" fontId="22" fillId="0" borderId="0" xfId="0" applyFont="1" applyAlignment="1">
      <alignment horizontal="left" vertical="center" wrapText="1"/>
    </xf>
    <xf numFmtId="0" fontId="22" fillId="0" borderId="0" xfId="0" applyFont="1"/>
    <xf numFmtId="0" fontId="21" fillId="0" borderId="0" xfId="0" applyFont="1"/>
    <xf numFmtId="0" fontId="17" fillId="0" borderId="0" xfId="0" applyFont="1" applyAlignment="1">
      <alignment horizontal="center"/>
    </xf>
    <xf numFmtId="0" fontId="23" fillId="0" borderId="0" xfId="0" applyFont="1" applyAlignment="1">
      <alignment horizontal="center"/>
    </xf>
    <xf numFmtId="0" fontId="24" fillId="0" borderId="0" xfId="0" applyFont="1"/>
    <xf numFmtId="0" fontId="20" fillId="0" borderId="3" xfId="0" applyFont="1" applyBorder="1" applyAlignment="1">
      <alignment vertical="center" wrapText="1"/>
    </xf>
    <xf numFmtId="0" fontId="20" fillId="0" borderId="4" xfId="0" applyFont="1" applyBorder="1" applyAlignment="1">
      <alignment horizontal="center" vertical="center" wrapText="1"/>
    </xf>
    <xf numFmtId="0" fontId="20" fillId="0" borderId="4" xfId="0" applyFont="1" applyBorder="1" applyAlignment="1">
      <alignment vertical="center" wrapText="1"/>
    </xf>
    <xf numFmtId="0" fontId="20" fillId="0" borderId="4" xfId="0" applyFont="1" applyBorder="1" applyAlignment="1">
      <alignment horizontal="right" vertical="center" wrapText="1"/>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vertical="center"/>
    </xf>
    <xf numFmtId="164" fontId="20" fillId="0" borderId="1" xfId="0" applyNumberFormat="1" applyFont="1" applyBorder="1" applyAlignment="1">
      <alignment vertical="center"/>
    </xf>
    <xf numFmtId="0" fontId="20" fillId="0" borderId="1" xfId="0" applyFont="1" applyBorder="1" applyAlignment="1">
      <alignment horizontal="right" vertical="center"/>
    </xf>
    <xf numFmtId="3" fontId="20" fillId="0" borderId="1" xfId="0" applyNumberFormat="1" applyFont="1" applyBorder="1" applyAlignment="1">
      <alignment horizontal="right" vertical="center"/>
    </xf>
    <xf numFmtId="4" fontId="25" fillId="0" borderId="0" xfId="0" applyNumberFormat="1" applyFont="1"/>
    <xf numFmtId="0" fontId="22" fillId="0" borderId="1" xfId="0" applyFont="1" applyBorder="1" applyAlignment="1">
      <alignment vertical="center" wrapText="1"/>
    </xf>
    <xf numFmtId="0" fontId="22" fillId="0" borderId="1" xfId="0" applyFont="1" applyBorder="1" applyAlignment="1">
      <alignment horizontal="center" vertical="center" wrapText="1"/>
    </xf>
    <xf numFmtId="164" fontId="22" fillId="0" borderId="1" xfId="0" applyNumberFormat="1" applyFont="1" applyBorder="1" applyAlignment="1">
      <alignment vertical="center" wrapText="1"/>
    </xf>
    <xf numFmtId="3" fontId="26" fillId="0" borderId="1" xfId="0" applyNumberFormat="1" applyFont="1" applyBorder="1" applyAlignment="1">
      <alignment horizontal="right" vertical="center" wrapText="1"/>
    </xf>
    <xf numFmtId="4" fontId="22" fillId="0" borderId="0" xfId="0" applyNumberFormat="1" applyFont="1"/>
    <xf numFmtId="3" fontId="22" fillId="0" borderId="1" xfId="0" applyNumberFormat="1" applyFont="1" applyBorder="1" applyAlignment="1">
      <alignment horizontal="right" vertical="center" wrapText="1"/>
    </xf>
    <xf numFmtId="0" fontId="27" fillId="0" borderId="1"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3" xfId="0" applyFont="1" applyBorder="1" applyAlignment="1">
      <alignment horizontal="left" vertical="center" wrapText="1"/>
    </xf>
    <xf numFmtId="3" fontId="26" fillId="0" borderId="1" xfId="0" applyNumberFormat="1" applyFont="1" applyBorder="1" applyAlignment="1">
      <alignment horizontal="center" vertical="center" wrapText="1"/>
    </xf>
    <xf numFmtId="0" fontId="22" fillId="0" borderId="1" xfId="0" applyFont="1" applyBorder="1" applyAlignment="1">
      <alignment horizontal="left" vertical="center" wrapText="1"/>
    </xf>
    <xf numFmtId="164" fontId="22" fillId="0" borderId="1" xfId="0" applyNumberFormat="1" applyFont="1" applyBorder="1" applyAlignment="1">
      <alignment horizontal="center" vertical="center" wrapText="1"/>
    </xf>
    <xf numFmtId="0" fontId="22" fillId="0" borderId="6" xfId="0" applyFont="1" applyBorder="1" applyAlignment="1">
      <alignment horizontal="center" vertical="center" wrapText="1"/>
    </xf>
    <xf numFmtId="0" fontId="22" fillId="0" borderId="6" xfId="0" applyFont="1" applyBorder="1" applyAlignment="1">
      <alignment horizontal="left" vertical="center" wrapText="1"/>
    </xf>
    <xf numFmtId="0" fontId="22" fillId="0" borderId="1" xfId="0" applyFont="1" applyBorder="1" applyAlignment="1">
      <alignment horizontal="center" vertical="center"/>
    </xf>
    <xf numFmtId="0" fontId="22" fillId="0" borderId="1" xfId="0" applyFont="1" applyBorder="1" applyAlignment="1">
      <alignment horizontal="center"/>
    </xf>
    <xf numFmtId="0" fontId="22" fillId="0" borderId="1" xfId="0" applyFont="1" applyBorder="1" applyAlignment="1"/>
    <xf numFmtId="0" fontId="22" fillId="0" borderId="1" xfId="0" applyFont="1" applyBorder="1" applyAlignment="1">
      <alignment horizontal="right"/>
    </xf>
    <xf numFmtId="0" fontId="22" fillId="0" borderId="1" xfId="0" applyFont="1" applyBorder="1"/>
    <xf numFmtId="0" fontId="17" fillId="0" borderId="0" xfId="0" applyFont="1" applyAlignment="1"/>
    <xf numFmtId="0" fontId="17" fillId="0" borderId="0" xfId="0" applyFont="1" applyAlignment="1">
      <alignment horizontal="left"/>
    </xf>
    <xf numFmtId="0" fontId="17" fillId="0" borderId="0" xfId="0" applyFont="1" applyAlignment="1">
      <alignment horizontal="right"/>
    </xf>
    <xf numFmtId="0" fontId="17" fillId="0" borderId="0" xfId="0" applyFont="1"/>
    <xf numFmtId="0" fontId="28" fillId="0" borderId="1" xfId="0" applyFont="1" applyBorder="1" applyAlignment="1">
      <alignment horizontal="right"/>
    </xf>
    <xf numFmtId="0" fontId="21" fillId="0" borderId="1" xfId="0" applyFont="1" applyBorder="1" applyAlignment="1">
      <alignment horizontal="right"/>
    </xf>
    <xf numFmtId="0" fontId="21" fillId="0" borderId="0" xfId="0" applyFont="1" applyAlignment="1">
      <alignment horizontal="right"/>
    </xf>
    <xf numFmtId="0" fontId="22" fillId="0" borderId="0" xfId="0" applyFont="1" applyBorder="1" applyAlignment="1">
      <alignment horizontal="left"/>
    </xf>
    <xf numFmtId="0" fontId="21" fillId="0" borderId="0" xfId="0" applyFont="1" applyBorder="1" applyAlignment="1">
      <alignment horizontal="center"/>
    </xf>
    <xf numFmtId="164" fontId="22" fillId="0" borderId="0" xfId="0" applyNumberFormat="1" applyFont="1" applyBorder="1" applyAlignment="1">
      <alignment horizontal="right"/>
    </xf>
    <xf numFmtId="0" fontId="22" fillId="0" borderId="0" xfId="0" applyFont="1" applyBorder="1" applyAlignment="1">
      <alignment horizontal="right"/>
    </xf>
    <xf numFmtId="0" fontId="21" fillId="0" borderId="0" xfId="0" applyFont="1" applyBorder="1" applyAlignment="1">
      <alignment horizontal="right"/>
    </xf>
    <xf numFmtId="0" fontId="17" fillId="0" borderId="1" xfId="0" applyFont="1" applyBorder="1" applyAlignment="1">
      <alignment horizontal="left"/>
    </xf>
    <xf numFmtId="0" fontId="21" fillId="0" borderId="1" xfId="0" applyFont="1" applyBorder="1" applyAlignment="1"/>
    <xf numFmtId="0" fontId="20" fillId="0" borderId="1" xfId="0" applyFont="1" applyBorder="1" applyAlignment="1"/>
    <xf numFmtId="0" fontId="20" fillId="0" borderId="0" xfId="0" applyFont="1" applyAlignment="1">
      <alignment horizontal="right"/>
    </xf>
    <xf numFmtId="0" fontId="20" fillId="0" borderId="0" xfId="0" applyFont="1"/>
    <xf numFmtId="0" fontId="20" fillId="0" borderId="0" xfId="0" applyFont="1" applyAlignment="1">
      <alignment horizontal="left" vertical="center" wrapText="1"/>
    </xf>
    <xf numFmtId="0" fontId="22" fillId="0" borderId="1" xfId="0" quotePrefix="1" applyFont="1" applyBorder="1" applyAlignment="1">
      <alignment horizontal="left"/>
    </xf>
    <xf numFmtId="0" fontId="22" fillId="0" borderId="0" xfId="0" applyFont="1" applyAlignment="1">
      <alignment horizontal="right"/>
    </xf>
    <xf numFmtId="0" fontId="22" fillId="0" borderId="0" xfId="0" applyFont="1" applyAlignment="1">
      <alignment horizontal="left"/>
    </xf>
    <xf numFmtId="0" fontId="22" fillId="0" borderId="0" xfId="0" applyFont="1" applyAlignment="1"/>
    <xf numFmtId="0" fontId="22" fillId="0" borderId="0" xfId="0" applyFont="1" applyAlignment="1">
      <alignment horizontal="center"/>
    </xf>
    <xf numFmtId="0" fontId="21" fillId="0" borderId="0" xfId="0" applyFont="1" applyAlignment="1">
      <alignment horizontal="left"/>
    </xf>
    <xf numFmtId="0" fontId="21" fillId="0" borderId="0" xfId="0" applyFont="1" applyAlignment="1"/>
    <xf numFmtId="0" fontId="21" fillId="0" borderId="1" xfId="0" applyFont="1" applyBorder="1" applyAlignment="1">
      <alignment horizontal="center" vertical="center" wrapText="1"/>
    </xf>
    <xf numFmtId="0" fontId="21" fillId="0" borderId="1" xfId="0" applyFont="1" applyBorder="1"/>
    <xf numFmtId="0" fontId="30" fillId="0" borderId="1" xfId="0" applyFont="1" applyBorder="1" applyAlignment="1">
      <alignment horizontal="right"/>
    </xf>
    <xf numFmtId="0" fontId="17" fillId="0" borderId="1" xfId="0" applyFont="1" applyBorder="1" applyAlignment="1">
      <alignment horizontal="center"/>
    </xf>
    <xf numFmtId="3" fontId="17" fillId="0" borderId="1" xfId="0" applyNumberFormat="1" applyFont="1" applyBorder="1" applyAlignment="1">
      <alignment horizontal="right"/>
    </xf>
    <xf numFmtId="3" fontId="21" fillId="0" borderId="1" xfId="0" applyNumberFormat="1" applyFont="1" applyBorder="1" applyAlignment="1">
      <alignment horizontal="right"/>
    </xf>
    <xf numFmtId="0" fontId="21" fillId="0" borderId="1" xfId="0" applyFont="1" applyBorder="1" applyAlignment="1">
      <alignment horizontal="center"/>
    </xf>
    <xf numFmtId="0" fontId="17" fillId="0" borderId="1" xfId="0" applyFont="1" applyBorder="1" applyAlignment="1">
      <alignment horizontal="center" vertical="center" wrapText="1"/>
    </xf>
    <xf numFmtId="0" fontId="17" fillId="0" borderId="1" xfId="0" applyFont="1" applyBorder="1"/>
    <xf numFmtId="0" fontId="31" fillId="0" borderId="0" xfId="0" applyFont="1" applyFill="1"/>
    <xf numFmtId="0" fontId="32" fillId="0" borderId="0" xfId="0" applyFont="1" applyFill="1"/>
    <xf numFmtId="0" fontId="31" fillId="0" borderId="0" xfId="0" applyFont="1" applyFill="1" applyAlignment="1">
      <alignment horizontal="center"/>
    </xf>
    <xf numFmtId="0" fontId="32" fillId="0" borderId="1" xfId="0" applyFont="1" applyFill="1" applyBorder="1" applyAlignment="1">
      <alignment horizontal="center" vertical="center" wrapText="1"/>
    </xf>
    <xf numFmtId="0" fontId="32" fillId="0" borderId="0" xfId="0" applyFont="1" applyFill="1" applyAlignment="1">
      <alignment horizontal="center" vertical="center" wrapText="1"/>
    </xf>
    <xf numFmtId="0" fontId="32" fillId="0" borderId="1" xfId="0" applyFont="1" applyFill="1" applyBorder="1" applyAlignment="1">
      <alignment horizontal="right" vertical="center" wrapText="1"/>
    </xf>
    <xf numFmtId="0" fontId="32" fillId="0" borderId="1" xfId="0" applyFont="1" applyFill="1" applyBorder="1" applyAlignment="1">
      <alignment horizontal="left" vertical="center" wrapText="1"/>
    </xf>
    <xf numFmtId="167" fontId="32" fillId="0" borderId="1" xfId="1" applyNumberFormat="1" applyFont="1" applyFill="1" applyBorder="1" applyAlignment="1">
      <alignment horizontal="right" vertical="center" wrapText="1"/>
    </xf>
    <xf numFmtId="0" fontId="32" fillId="0" borderId="1" xfId="0" applyFont="1" applyFill="1" applyBorder="1"/>
    <xf numFmtId="0" fontId="31" fillId="0" borderId="1" xfId="0" applyFont="1" applyFill="1" applyBorder="1"/>
    <xf numFmtId="167" fontId="31" fillId="0" borderId="1" xfId="0" applyNumberFormat="1" applyFont="1" applyFill="1" applyBorder="1" applyAlignment="1">
      <alignment horizontal="right" vertical="center" wrapText="1"/>
    </xf>
    <xf numFmtId="167" fontId="32" fillId="0" borderId="1" xfId="0" applyNumberFormat="1" applyFont="1" applyFill="1" applyBorder="1" applyAlignment="1">
      <alignment horizontal="right"/>
    </xf>
    <xf numFmtId="167" fontId="32" fillId="0" borderId="1" xfId="0" applyNumberFormat="1" applyFont="1" applyFill="1" applyBorder="1"/>
    <xf numFmtId="167" fontId="31" fillId="0" borderId="0" xfId="0" applyNumberFormat="1" applyFont="1" applyFill="1"/>
    <xf numFmtId="167" fontId="32" fillId="0" borderId="0" xfId="0" applyNumberFormat="1" applyFont="1" applyFill="1"/>
    <xf numFmtId="168" fontId="32" fillId="0" borderId="1" xfId="1" applyNumberFormat="1" applyFont="1" applyFill="1" applyBorder="1" applyAlignment="1">
      <alignment vertical="center" wrapText="1"/>
    </xf>
    <xf numFmtId="167" fontId="32" fillId="0" borderId="1" xfId="1" applyNumberFormat="1" applyFont="1" applyFill="1" applyBorder="1" applyAlignment="1">
      <alignment vertical="center" wrapText="1"/>
    </xf>
    <xf numFmtId="169" fontId="32" fillId="0" borderId="1" xfId="1" applyNumberFormat="1" applyFont="1" applyFill="1" applyBorder="1" applyAlignment="1">
      <alignment vertical="center" wrapText="1"/>
    </xf>
    <xf numFmtId="169" fontId="32" fillId="0" borderId="1" xfId="1" applyNumberFormat="1" applyFont="1" applyFill="1" applyBorder="1" applyAlignment="1">
      <alignment horizontal="right" vertical="center" wrapText="1"/>
    </xf>
    <xf numFmtId="167" fontId="32" fillId="0" borderId="1" xfId="1" applyNumberFormat="1" applyFont="1" applyFill="1" applyBorder="1"/>
    <xf numFmtId="170" fontId="32" fillId="0" borderId="1" xfId="0" applyNumberFormat="1" applyFont="1" applyFill="1" applyBorder="1"/>
    <xf numFmtId="171" fontId="32" fillId="0" borderId="0" xfId="0" applyNumberFormat="1" applyFont="1" applyFill="1"/>
    <xf numFmtId="0" fontId="21" fillId="0" borderId="1" xfId="0" applyFont="1" applyBorder="1" applyAlignment="1">
      <alignment horizontal="left" vertical="center" wrapText="1"/>
    </xf>
    <xf numFmtId="3" fontId="17" fillId="0" borderId="1" xfId="0" applyNumberFormat="1" applyFont="1" applyBorder="1" applyAlignment="1"/>
    <xf numFmtId="3" fontId="21" fillId="0" borderId="1" xfId="0" applyNumberFormat="1" applyFont="1" applyBorder="1" applyAlignment="1"/>
    <xf numFmtId="0" fontId="19" fillId="0" borderId="1" xfId="0" applyFont="1" applyBorder="1"/>
    <xf numFmtId="0" fontId="19" fillId="0" borderId="1" xfId="0" applyFont="1" applyBorder="1" applyAlignment="1">
      <alignment horizontal="right"/>
    </xf>
    <xf numFmtId="0" fontId="19" fillId="0" borderId="1" xfId="0" applyFont="1" applyBorder="1" applyAlignment="1">
      <alignment horizontal="center"/>
    </xf>
    <xf numFmtId="0" fontId="31" fillId="0" borderId="1" xfId="0" applyFont="1" applyFill="1" applyBorder="1" applyAlignment="1">
      <alignment horizontal="center" vertical="center" wrapText="1"/>
    </xf>
    <xf numFmtId="0" fontId="31" fillId="0" borderId="0" xfId="0" applyFont="1" applyFill="1" applyAlignment="1">
      <alignment horizontal="center" vertical="center" wrapText="1"/>
    </xf>
    <xf numFmtId="0" fontId="32" fillId="0" borderId="1" xfId="0" quotePrefix="1" applyFont="1" applyFill="1" applyBorder="1" applyAlignment="1">
      <alignment horizontal="center" vertical="center" wrapText="1"/>
    </xf>
    <xf numFmtId="0" fontId="31" fillId="0" borderId="0" xfId="0" applyFont="1" applyFill="1" applyBorder="1" applyAlignment="1">
      <alignment horizontal="center"/>
    </xf>
    <xf numFmtId="0" fontId="21" fillId="0" borderId="0" xfId="0" applyFont="1" applyAlignment="1">
      <alignment horizontal="left" vertical="center" wrapText="1"/>
    </xf>
    <xf numFmtId="0" fontId="17" fillId="0" borderId="1" xfId="0" applyFont="1" applyBorder="1" applyAlignment="1">
      <alignment horizontal="left" vertical="center" wrapText="1"/>
    </xf>
    <xf numFmtId="3" fontId="17" fillId="0" borderId="1" xfId="0" applyNumberFormat="1" applyFont="1" applyBorder="1" applyAlignment="1">
      <alignment horizontal="right" vertical="center" wrapText="1"/>
    </xf>
    <xf numFmtId="0" fontId="17" fillId="0" borderId="1" xfId="0" applyFont="1" applyBorder="1" applyAlignment="1">
      <alignment horizontal="right" vertical="center" wrapText="1"/>
    </xf>
    <xf numFmtId="166" fontId="21" fillId="0" borderId="1" xfId="1" applyNumberFormat="1" applyFont="1" applyBorder="1" applyAlignment="1">
      <alignment horizontal="left" vertical="center" wrapText="1"/>
    </xf>
    <xf numFmtId="166" fontId="21" fillId="0" borderId="1" xfId="1" applyNumberFormat="1" applyFont="1" applyBorder="1" applyAlignment="1">
      <alignment horizontal="right" vertical="center" wrapText="1"/>
    </xf>
    <xf numFmtId="0" fontId="3" fillId="0" borderId="1" xfId="0" applyFont="1" applyBorder="1" applyAlignment="1">
      <alignment horizontal="right"/>
    </xf>
    <xf numFmtId="0" fontId="21" fillId="0" borderId="0" xfId="0" applyFont="1" applyBorder="1"/>
    <xf numFmtId="0" fontId="32" fillId="0" borderId="0" xfId="0" applyFont="1"/>
    <xf numFmtId="167" fontId="32" fillId="0" borderId="1" xfId="1" applyNumberFormat="1" applyFont="1" applyBorder="1"/>
    <xf numFmtId="0" fontId="32" fillId="0" borderId="1" xfId="0" applyFont="1" applyBorder="1"/>
    <xf numFmtId="0" fontId="32" fillId="0" borderId="1" xfId="0" applyFont="1" applyBorder="1" applyAlignment="1">
      <alignment horizontal="left" vertical="center" wrapText="1"/>
    </xf>
    <xf numFmtId="4" fontId="32" fillId="0" borderId="1" xfId="0" applyNumberFormat="1" applyFont="1" applyBorder="1"/>
    <xf numFmtId="0" fontId="31" fillId="0" borderId="1" xfId="0" applyFont="1" applyBorder="1"/>
    <xf numFmtId="167" fontId="31" fillId="0" borderId="1" xfId="1" applyNumberFormat="1" applyFont="1" applyBorder="1"/>
    <xf numFmtId="4" fontId="31" fillId="0" borderId="1" xfId="1" applyNumberFormat="1" applyFont="1" applyBorder="1"/>
    <xf numFmtId="167" fontId="32" fillId="0" borderId="0" xfId="0" applyNumberFormat="1" applyFont="1"/>
    <xf numFmtId="167" fontId="32" fillId="0" borderId="0" xfId="1" applyNumberFormat="1" applyFont="1"/>
    <xf numFmtId="167" fontId="35" fillId="0" borderId="1" xfId="0" applyNumberFormat="1" applyFont="1" applyFill="1" applyBorder="1" applyAlignment="1">
      <alignment horizontal="right"/>
    </xf>
    <xf numFmtId="0" fontId="19" fillId="0" borderId="0" xfId="0" applyFont="1" applyFill="1" applyAlignment="1"/>
    <xf numFmtId="0" fontId="21" fillId="0" borderId="0" xfId="0" applyFont="1" applyFill="1"/>
    <xf numFmtId="0" fontId="17" fillId="0" borderId="0" xfId="0" applyFont="1" applyFill="1" applyAlignment="1"/>
    <xf numFmtId="0" fontId="17" fillId="0" borderId="0" xfId="0" applyFont="1" applyFill="1" applyAlignment="1">
      <alignment horizontal="center"/>
    </xf>
    <xf numFmtId="0" fontId="23" fillId="0" borderId="0" xfId="0" applyFont="1" applyFill="1" applyAlignment="1">
      <alignment horizontal="center"/>
    </xf>
    <xf numFmtId="0" fontId="19" fillId="0" borderId="0" xfId="0" applyFont="1" applyFill="1" applyBorder="1" applyAlignment="1"/>
    <xf numFmtId="0" fontId="17" fillId="0" borderId="1" xfId="0" applyFont="1" applyFill="1" applyBorder="1" applyAlignment="1">
      <alignment horizontal="center"/>
    </xf>
    <xf numFmtId="3" fontId="21" fillId="0" borderId="1" xfId="0" applyNumberFormat="1" applyFont="1" applyFill="1" applyBorder="1" applyAlignment="1">
      <alignment horizontal="right" vertical="center"/>
    </xf>
    <xf numFmtId="0" fontId="21" fillId="0" borderId="1" xfId="0" quotePrefix="1" applyFont="1" applyFill="1" applyBorder="1" applyAlignment="1">
      <alignment horizontal="justify" vertical="center"/>
    </xf>
    <xf numFmtId="0" fontId="21" fillId="0" borderId="1" xfId="0" applyFont="1" applyFill="1" applyBorder="1" applyAlignment="1">
      <alignment horizontal="left" vertical="center" wrapText="1"/>
    </xf>
    <xf numFmtId="3" fontId="28" fillId="0" borderId="1" xfId="0" applyNumberFormat="1" applyFont="1" applyFill="1" applyBorder="1" applyAlignment="1">
      <alignment horizontal="right" vertical="center"/>
    </xf>
    <xf numFmtId="0" fontId="28" fillId="0" borderId="1" xfId="0" quotePrefix="1" applyFont="1" applyFill="1" applyBorder="1" applyAlignment="1">
      <alignment horizontal="justify" vertical="center"/>
    </xf>
    <xf numFmtId="0" fontId="28" fillId="0" borderId="1" xfId="0" applyFont="1" applyFill="1" applyBorder="1" applyAlignment="1">
      <alignment horizontal="left" vertical="center" wrapText="1"/>
    </xf>
    <xf numFmtId="0" fontId="21" fillId="0" borderId="1" xfId="0" applyFont="1" applyFill="1" applyBorder="1"/>
    <xf numFmtId="3" fontId="17" fillId="0" borderId="1" xfId="0" applyNumberFormat="1" applyFont="1" applyFill="1" applyBorder="1" applyAlignment="1">
      <alignment horizontal="right" vertical="center"/>
    </xf>
    <xf numFmtId="0" fontId="17" fillId="0" borderId="1" xfId="0" quotePrefix="1" applyFont="1" applyFill="1" applyBorder="1" applyAlignment="1">
      <alignment horizontal="justify" vertical="center"/>
    </xf>
    <xf numFmtId="0" fontId="17" fillId="0" borderId="1" xfId="0" applyFont="1" applyFill="1" applyBorder="1" applyAlignment="1">
      <alignment horizontal="right"/>
    </xf>
    <xf numFmtId="0" fontId="28" fillId="0" borderId="0" xfId="0" applyFont="1" applyFill="1"/>
    <xf numFmtId="0" fontId="37" fillId="0" borderId="0" xfId="0" applyFont="1" applyAlignment="1">
      <alignment horizontal="center"/>
    </xf>
    <xf numFmtId="0" fontId="39" fillId="0" borderId="0" xfId="0" applyFont="1" applyAlignment="1">
      <alignment horizontal="left" vertical="center" wrapText="1"/>
    </xf>
    <xf numFmtId="0" fontId="40" fillId="0" borderId="0" xfId="0" applyFont="1"/>
    <xf numFmtId="0" fontId="41" fillId="0" borderId="0" xfId="0" applyFont="1"/>
    <xf numFmtId="0" fontId="43" fillId="0" borderId="0" xfId="0" applyFont="1" applyAlignment="1">
      <alignment horizontal="center"/>
    </xf>
    <xf numFmtId="0" fontId="44" fillId="0" borderId="0" xfId="0" applyFont="1"/>
    <xf numFmtId="0" fontId="45" fillId="0" borderId="3" xfId="0" applyFont="1" applyBorder="1" applyAlignment="1">
      <alignment vertical="center" wrapText="1"/>
    </xf>
    <xf numFmtId="0" fontId="45" fillId="0" borderId="4" xfId="0" applyFont="1" applyBorder="1" applyAlignment="1">
      <alignment horizontal="right" vertical="center" wrapText="1"/>
    </xf>
    <xf numFmtId="0" fontId="45" fillId="0" borderId="4" xfId="0" applyFont="1" applyBorder="1" applyAlignment="1">
      <alignment horizontal="center" vertical="center"/>
    </xf>
    <xf numFmtId="0" fontId="45" fillId="2" borderId="5" xfId="0" applyFont="1" applyFill="1" applyBorder="1" applyAlignment="1">
      <alignment horizontal="center" vertical="center"/>
    </xf>
    <xf numFmtId="0" fontId="45" fillId="2" borderId="1" xfId="0" applyFont="1" applyFill="1" applyBorder="1" applyAlignment="1">
      <alignment horizontal="center" vertical="center"/>
    </xf>
    <xf numFmtId="164" fontId="45" fillId="2" borderId="4" xfId="0" applyNumberFormat="1" applyFont="1" applyFill="1" applyBorder="1" applyAlignment="1">
      <alignment horizontal="center" vertical="center"/>
    </xf>
    <xf numFmtId="0" fontId="45" fillId="2" borderId="4" xfId="0" applyFont="1" applyFill="1" applyBorder="1" applyAlignment="1">
      <alignment vertical="center" wrapText="1"/>
    </xf>
    <xf numFmtId="0" fontId="45" fillId="2" borderId="4" xfId="0" applyFont="1" applyFill="1" applyBorder="1" applyAlignment="1">
      <alignment horizontal="right" vertical="center" wrapText="1"/>
    </xf>
    <xf numFmtId="3" fontId="45" fillId="2" borderId="4" xfId="0" applyNumberFormat="1" applyFont="1" applyFill="1" applyBorder="1" applyAlignment="1">
      <alignment horizontal="right" vertical="center" wrapText="1"/>
    </xf>
    <xf numFmtId="0" fontId="45" fillId="2" borderId="4" xfId="0" applyFont="1" applyFill="1" applyBorder="1" applyAlignment="1">
      <alignment horizontal="center" vertical="center"/>
    </xf>
    <xf numFmtId="43" fontId="46" fillId="2" borderId="0" xfId="1" applyFont="1" applyFill="1" applyAlignment="1">
      <alignment horizontal="left" vertical="center" wrapText="1"/>
    </xf>
    <xf numFmtId="0" fontId="40" fillId="2" borderId="0" xfId="0" applyFont="1" applyFill="1" applyAlignment="1">
      <alignment horizontal="center"/>
    </xf>
    <xf numFmtId="0" fontId="41" fillId="2" borderId="0" xfId="0" applyFont="1" applyFill="1" applyAlignment="1">
      <alignment horizontal="center"/>
    </xf>
    <xf numFmtId="0" fontId="13" fillId="2" borderId="1" xfId="0" applyFont="1" applyFill="1" applyBorder="1" applyAlignment="1">
      <alignment vertical="center" wrapText="1"/>
    </xf>
    <xf numFmtId="164" fontId="13" fillId="2" borderId="1" xfId="0" applyNumberFormat="1" applyFont="1" applyFill="1" applyBorder="1" applyAlignment="1">
      <alignment vertical="center" wrapText="1"/>
    </xf>
    <xf numFmtId="164" fontId="13" fillId="2" borderId="1" xfId="0" applyNumberFormat="1" applyFont="1" applyFill="1" applyBorder="1" applyAlignment="1">
      <alignment horizontal="center" vertical="center" wrapText="1"/>
    </xf>
    <xf numFmtId="43" fontId="46" fillId="2" borderId="0" xfId="0" applyNumberFormat="1" applyFont="1" applyFill="1" applyAlignment="1">
      <alignment horizontal="left" vertical="center" wrapText="1"/>
    </xf>
    <xf numFmtId="0" fontId="40" fillId="2" borderId="0" xfId="0" applyFont="1" applyFill="1"/>
    <xf numFmtId="0" fontId="41" fillId="2" borderId="0" xfId="0" applyFont="1" applyFill="1"/>
    <xf numFmtId="0" fontId="46" fillId="2" borderId="0" xfId="0" applyFont="1" applyFill="1" applyAlignment="1">
      <alignment horizontal="left" vertical="center" wrapText="1"/>
    </xf>
    <xf numFmtId="164" fontId="46" fillId="2" borderId="0" xfId="0" applyNumberFormat="1" applyFont="1" applyFill="1" applyAlignment="1">
      <alignment horizontal="left" vertical="center" wrapText="1"/>
    </xf>
    <xf numFmtId="0" fontId="47"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vertical="center" wrapText="1"/>
    </xf>
    <xf numFmtId="164" fontId="13" fillId="0" borderId="1" xfId="0" applyNumberFormat="1" applyFont="1" applyBorder="1" applyAlignment="1">
      <alignment vertical="center" wrapText="1"/>
    </xf>
    <xf numFmtId="3" fontId="13" fillId="0" borderId="1" xfId="0" applyNumberFormat="1" applyFont="1" applyBorder="1" applyAlignment="1">
      <alignment horizontal="right" vertical="center" wrapText="1"/>
    </xf>
    <xf numFmtId="0" fontId="46" fillId="0" borderId="0" xfId="0" applyFont="1" applyAlignment="1">
      <alignment horizontal="left" vertical="center" wrapText="1"/>
    </xf>
    <xf numFmtId="0" fontId="48" fillId="0" borderId="0" xfId="0" applyFont="1"/>
    <xf numFmtId="0" fontId="48" fillId="0" borderId="0" xfId="0" applyFont="1" applyAlignment="1">
      <alignment horizontal="left"/>
    </xf>
    <xf numFmtId="0" fontId="48" fillId="0" borderId="0" xfId="0" applyFont="1" applyAlignment="1"/>
    <xf numFmtId="0" fontId="48" fillId="0" borderId="0" xfId="0" applyFont="1" applyAlignment="1">
      <alignment horizontal="center"/>
    </xf>
    <xf numFmtId="0" fontId="48" fillId="0" borderId="0" xfId="0" applyFont="1" applyAlignment="1">
      <alignment horizontal="right"/>
    </xf>
    <xf numFmtId="0" fontId="36" fillId="0" borderId="1" xfId="0" applyFont="1" applyBorder="1" applyAlignment="1">
      <alignment horizontal="right"/>
    </xf>
    <xf numFmtId="0" fontId="42" fillId="0" borderId="1" xfId="0" applyFont="1" applyBorder="1" applyAlignment="1">
      <alignment horizontal="center"/>
    </xf>
    <xf numFmtId="0" fontId="41" fillId="0" borderId="1" xfId="0" applyFont="1" applyBorder="1" applyAlignment="1">
      <alignment horizontal="right"/>
    </xf>
    <xf numFmtId="3" fontId="32" fillId="0" borderId="1" xfId="0" applyNumberFormat="1" applyFont="1" applyBorder="1" applyAlignment="1"/>
    <xf numFmtId="0" fontId="32" fillId="0" borderId="1" xfId="0" applyFont="1" applyBorder="1" applyAlignment="1">
      <alignment horizontal="right"/>
    </xf>
    <xf numFmtId="0" fontId="41" fillId="0" borderId="1" xfId="0" applyFont="1" applyBorder="1" applyAlignment="1">
      <alignment horizontal="center"/>
    </xf>
    <xf numFmtId="3" fontId="39" fillId="0" borderId="0" xfId="0" applyNumberFormat="1" applyFont="1" applyAlignment="1">
      <alignment horizontal="left" vertical="center" wrapText="1"/>
    </xf>
    <xf numFmtId="3" fontId="31" fillId="0" borderId="1" xfId="0" applyNumberFormat="1" applyFont="1" applyBorder="1" applyAlignment="1"/>
    <xf numFmtId="0" fontId="31" fillId="0" borderId="1" xfId="0" applyFont="1" applyBorder="1" applyAlignment="1">
      <alignment horizontal="right"/>
    </xf>
    <xf numFmtId="3" fontId="31" fillId="0" borderId="0" xfId="0" applyNumberFormat="1" applyFont="1"/>
    <xf numFmtId="3" fontId="32" fillId="0" borderId="0" xfId="0" applyNumberFormat="1" applyFont="1"/>
    <xf numFmtId="0" fontId="41" fillId="0" borderId="0" xfId="0" applyFont="1" applyAlignment="1">
      <alignment horizontal="center"/>
    </xf>
    <xf numFmtId="0" fontId="41" fillId="0" borderId="0" xfId="0" applyFont="1" applyAlignment="1"/>
    <xf numFmtId="0" fontId="41" fillId="0" borderId="0" xfId="0" applyFont="1" applyAlignment="1">
      <alignment horizontal="right"/>
    </xf>
    <xf numFmtId="3" fontId="41" fillId="0" borderId="0" xfId="0" applyNumberFormat="1" applyFont="1" applyAlignment="1">
      <alignment horizontal="left"/>
    </xf>
    <xf numFmtId="0" fontId="41" fillId="0" borderId="0" xfId="0" applyFont="1" applyAlignment="1">
      <alignment horizontal="left"/>
    </xf>
    <xf numFmtId="3" fontId="41" fillId="0" borderId="0" xfId="0" applyNumberFormat="1" applyFont="1" applyAlignment="1"/>
    <xf numFmtId="0" fontId="34" fillId="0" borderId="1" xfId="0" applyFont="1" applyFill="1" applyBorder="1"/>
    <xf numFmtId="167" fontId="34" fillId="0" borderId="1" xfId="0" applyNumberFormat="1" applyFont="1" applyFill="1" applyBorder="1" applyAlignment="1">
      <alignment horizontal="right"/>
    </xf>
    <xf numFmtId="167" fontId="34" fillId="0" borderId="1" xfId="0" applyNumberFormat="1" applyFont="1" applyFill="1" applyBorder="1" applyAlignment="1">
      <alignment horizontal="right" vertical="center" wrapText="1"/>
    </xf>
    <xf numFmtId="167" fontId="34" fillId="0" borderId="1" xfId="1" applyNumberFormat="1" applyFont="1" applyFill="1" applyBorder="1" applyAlignment="1">
      <alignment horizontal="right" vertical="center" wrapText="1"/>
    </xf>
    <xf numFmtId="3" fontId="32" fillId="0" borderId="0" xfId="0" applyNumberFormat="1" applyFont="1" applyFill="1"/>
    <xf numFmtId="0" fontId="42" fillId="0" borderId="0" xfId="0" applyFont="1" applyAlignment="1">
      <alignment horizontal="center"/>
    </xf>
    <xf numFmtId="0" fontId="45" fillId="0" borderId="4" xfId="0" applyFont="1" applyBorder="1" applyAlignment="1">
      <alignment horizontal="center" vertical="center" wrapText="1"/>
    </xf>
    <xf numFmtId="0" fontId="13" fillId="2" borderId="1" xfId="0" applyFont="1" applyFill="1" applyBorder="1" applyAlignment="1">
      <alignment horizontal="center" vertical="center" wrapText="1"/>
    </xf>
    <xf numFmtId="3" fontId="21" fillId="0" borderId="0" xfId="0" applyNumberFormat="1" applyFont="1"/>
    <xf numFmtId="166" fontId="21" fillId="0" borderId="0" xfId="0" applyNumberFormat="1" applyFont="1"/>
    <xf numFmtId="0" fontId="17" fillId="0" borderId="0" xfId="0" applyFont="1" applyAlignment="1">
      <alignment horizontal="center"/>
    </xf>
    <xf numFmtId="0" fontId="31" fillId="0" borderId="0" xfId="0" applyFont="1" applyFill="1" applyAlignment="1">
      <alignment horizontal="center" vertical="center" wrapText="1"/>
    </xf>
    <xf numFmtId="0" fontId="31" fillId="0" borderId="8" xfId="0" applyFont="1" applyFill="1" applyBorder="1" applyAlignment="1">
      <alignment horizontal="center"/>
    </xf>
    <xf numFmtId="0" fontId="32" fillId="0" borderId="1" xfId="0" applyFont="1" applyFill="1" applyBorder="1" applyAlignment="1">
      <alignment horizontal="center" vertical="center" wrapText="1"/>
    </xf>
    <xf numFmtId="0" fontId="31" fillId="0" borderId="5" xfId="0" applyFont="1" applyFill="1" applyBorder="1" applyAlignment="1">
      <alignment horizontal="center"/>
    </xf>
    <xf numFmtId="0" fontId="31" fillId="0" borderId="7" xfId="0" applyFont="1" applyFill="1" applyBorder="1" applyAlignment="1">
      <alignment horizontal="center"/>
    </xf>
    <xf numFmtId="0" fontId="31" fillId="0" borderId="4" xfId="0" applyFont="1" applyFill="1" applyBorder="1" applyAlignment="1">
      <alignment horizontal="center"/>
    </xf>
    <xf numFmtId="0" fontId="19" fillId="0" borderId="0" xfId="0" applyFont="1" applyFill="1" applyBorder="1" applyAlignment="1">
      <alignment horizontal="center"/>
    </xf>
    <xf numFmtId="0" fontId="19" fillId="0" borderId="0" xfId="0" applyFont="1" applyFill="1" applyAlignment="1">
      <alignment horizontal="center"/>
    </xf>
    <xf numFmtId="0" fontId="17" fillId="0" borderId="0" xfId="0" applyFont="1" applyFill="1" applyAlignment="1">
      <alignment horizontal="center"/>
    </xf>
    <xf numFmtId="0" fontId="19" fillId="0" borderId="0" xfId="0" applyFont="1" applyAlignment="1">
      <alignment horizontal="center"/>
    </xf>
    <xf numFmtId="3" fontId="21" fillId="0" borderId="1" xfId="0" applyNumberFormat="1" applyFont="1" applyBorder="1" applyAlignment="1">
      <alignment horizontal="right"/>
    </xf>
    <xf numFmtId="0" fontId="23" fillId="0" borderId="0" xfId="0" applyFont="1" applyBorder="1" applyAlignment="1">
      <alignment horizontal="center"/>
    </xf>
    <xf numFmtId="0" fontId="20" fillId="0" borderId="5"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7" xfId="0" applyFont="1" applyBorder="1" applyAlignment="1">
      <alignment horizontal="left" vertical="center"/>
    </xf>
    <xf numFmtId="0" fontId="22"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left" vertical="center" wrapText="1"/>
    </xf>
    <xf numFmtId="0" fontId="22" fillId="0" borderId="2" xfId="0" applyFont="1" applyBorder="1" applyAlignment="1">
      <alignment horizontal="left" vertical="center" wrapText="1"/>
    </xf>
    <xf numFmtId="0" fontId="22" fillId="0" borderId="6" xfId="0" applyFont="1" applyBorder="1" applyAlignment="1">
      <alignment horizontal="left" vertical="center" wrapText="1"/>
    </xf>
    <xf numFmtId="0" fontId="22" fillId="0" borderId="1" xfId="0" applyFont="1" applyBorder="1" applyAlignment="1">
      <alignment horizontal="center" vertical="center" wrapText="1"/>
    </xf>
    <xf numFmtId="0" fontId="20" fillId="0" borderId="5" xfId="0" applyFont="1" applyBorder="1" applyAlignment="1">
      <alignment horizontal="left" vertical="center"/>
    </xf>
    <xf numFmtId="0" fontId="20" fillId="0" borderId="4" xfId="0" applyFont="1" applyBorder="1" applyAlignment="1">
      <alignment horizontal="left" vertical="center"/>
    </xf>
    <xf numFmtId="0" fontId="22" fillId="0" borderId="6" xfId="0" applyFont="1" applyBorder="1" applyAlignment="1">
      <alignment horizontal="center" vertical="center" wrapText="1"/>
    </xf>
    <xf numFmtId="0" fontId="20" fillId="0" borderId="5" xfId="0" applyFont="1" applyBorder="1" applyAlignment="1">
      <alignment horizontal="center" vertical="center"/>
    </xf>
    <xf numFmtId="0" fontId="20" fillId="0" borderId="4" xfId="0" applyFont="1" applyBorder="1" applyAlignment="1">
      <alignment horizontal="center" vertical="center"/>
    </xf>
    <xf numFmtId="0" fontId="21" fillId="0" borderId="1" xfId="0" applyFont="1" applyBorder="1" applyAlignment="1">
      <alignment horizontal="left"/>
    </xf>
    <xf numFmtId="165" fontId="20" fillId="0" borderId="1" xfId="0" applyNumberFormat="1" applyFont="1" applyBorder="1" applyAlignment="1">
      <alignment horizontal="center"/>
    </xf>
    <xf numFmtId="0" fontId="20" fillId="0" borderId="1" xfId="0" applyFont="1" applyBorder="1" applyAlignment="1">
      <alignment horizontal="center"/>
    </xf>
    <xf numFmtId="0" fontId="17" fillId="0" borderId="1" xfId="0" applyFont="1" applyBorder="1" applyAlignment="1">
      <alignment horizontal="left"/>
    </xf>
    <xf numFmtId="3" fontId="17" fillId="0" borderId="1" xfId="0" applyNumberFormat="1" applyFont="1" applyBorder="1" applyAlignment="1">
      <alignment horizontal="right"/>
    </xf>
    <xf numFmtId="0" fontId="21" fillId="0" borderId="0" xfId="0" applyFont="1" applyAlignment="1">
      <alignment horizontal="left"/>
    </xf>
    <xf numFmtId="3" fontId="21" fillId="0" borderId="0" xfId="0" applyNumberFormat="1" applyFont="1" applyAlignment="1">
      <alignment horizontal="center"/>
    </xf>
    <xf numFmtId="0" fontId="17" fillId="0" borderId="1" xfId="0" applyFont="1" applyBorder="1" applyAlignment="1">
      <alignment horizontal="center"/>
    </xf>
    <xf numFmtId="0" fontId="22" fillId="0" borderId="1" xfId="0" applyFont="1" applyBorder="1" applyAlignment="1">
      <alignment horizontal="left"/>
    </xf>
    <xf numFmtId="164" fontId="22" fillId="0" borderId="1" xfId="0" applyNumberFormat="1" applyFont="1" applyBorder="1" applyAlignment="1">
      <alignment horizontal="right"/>
    </xf>
    <xf numFmtId="0" fontId="22" fillId="0" borderId="1" xfId="0" applyFont="1" applyBorder="1" applyAlignment="1">
      <alignment horizontal="right"/>
    </xf>
    <xf numFmtId="165" fontId="22" fillId="0" borderId="1" xfId="1" applyNumberFormat="1" applyFont="1" applyBorder="1" applyAlignment="1">
      <alignment horizontal="center"/>
    </xf>
    <xf numFmtId="165" fontId="22" fillId="0" borderId="1" xfId="0" applyNumberFormat="1" applyFont="1" applyBorder="1" applyAlignment="1">
      <alignment horizontal="center"/>
    </xf>
    <xf numFmtId="3" fontId="22" fillId="0" borderId="1" xfId="0" applyNumberFormat="1" applyFont="1" applyBorder="1" applyAlignment="1">
      <alignment horizontal="center"/>
    </xf>
    <xf numFmtId="0" fontId="22" fillId="0" borderId="1" xfId="0" applyFont="1" applyBorder="1" applyAlignment="1">
      <alignment horizontal="center"/>
    </xf>
    <xf numFmtId="0" fontId="19" fillId="0" borderId="5" xfId="0" applyFont="1" applyBorder="1" applyAlignment="1">
      <alignment horizontal="left"/>
    </xf>
    <xf numFmtId="0" fontId="19" fillId="0" borderId="7" xfId="0" applyFont="1" applyBorder="1" applyAlignment="1">
      <alignment horizontal="left"/>
    </xf>
    <xf numFmtId="0" fontId="19" fillId="0" borderId="4" xfId="0" applyFont="1" applyBorder="1" applyAlignment="1">
      <alignment horizontal="left"/>
    </xf>
    <xf numFmtId="0" fontId="19" fillId="0" borderId="5" xfId="0" applyFont="1" applyBorder="1" applyAlignment="1">
      <alignment horizontal="center"/>
    </xf>
    <xf numFmtId="0" fontId="19" fillId="0" borderId="4" xfId="0" applyFont="1" applyBorder="1" applyAlignment="1">
      <alignment horizontal="center"/>
    </xf>
    <xf numFmtId="0" fontId="36" fillId="0" borderId="0" xfId="0" applyFont="1" applyAlignment="1">
      <alignment horizontal="center"/>
    </xf>
    <xf numFmtId="0" fontId="38" fillId="0" borderId="0" xfId="0" applyFont="1" applyAlignment="1">
      <alignment horizontal="center"/>
    </xf>
    <xf numFmtId="0" fontId="42" fillId="0" borderId="0" xfId="0" applyFont="1" applyAlignment="1">
      <alignment horizontal="center"/>
    </xf>
    <xf numFmtId="0" fontId="36" fillId="0" borderId="1" xfId="0" applyFont="1" applyBorder="1" applyAlignment="1">
      <alignment horizontal="center"/>
    </xf>
    <xf numFmtId="0" fontId="37" fillId="0" borderId="1" xfId="0" applyFont="1" applyBorder="1" applyAlignment="1">
      <alignment horizontal="left"/>
    </xf>
    <xf numFmtId="3" fontId="37" fillId="0" borderId="1" xfId="0" applyNumberFormat="1" applyFont="1" applyBorder="1" applyAlignment="1">
      <alignment horizontal="right"/>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43" fillId="0" borderId="0" xfId="0" applyFont="1" applyBorder="1" applyAlignment="1">
      <alignment horizontal="center"/>
    </xf>
    <xf numFmtId="0" fontId="45" fillId="0" borderId="5" xfId="0" applyFont="1" applyBorder="1" applyAlignment="1">
      <alignment horizontal="center" vertical="center" wrapText="1"/>
    </xf>
    <xf numFmtId="0" fontId="45" fillId="0" borderId="4" xfId="0" applyFont="1" applyBorder="1" applyAlignment="1">
      <alignment horizontal="center" vertical="center" wrapText="1"/>
    </xf>
    <xf numFmtId="0" fontId="45" fillId="2" borderId="5" xfId="0" applyFont="1" applyFill="1" applyBorder="1" applyAlignment="1">
      <alignment horizontal="left" vertical="center"/>
    </xf>
    <xf numFmtId="0" fontId="45" fillId="2" borderId="4" xfId="0" applyFont="1" applyFill="1" applyBorder="1" applyAlignment="1">
      <alignment horizontal="left" vertical="center"/>
    </xf>
    <xf numFmtId="0" fontId="13" fillId="2"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31" fillId="0" borderId="1" xfId="0" applyFont="1" applyBorder="1" applyAlignment="1">
      <alignment horizontal="left"/>
    </xf>
    <xf numFmtId="3" fontId="42" fillId="0" borderId="1" xfId="0" applyNumberFormat="1" applyFont="1" applyBorder="1" applyAlignment="1">
      <alignment horizontal="right"/>
    </xf>
    <xf numFmtId="0" fontId="7" fillId="0" borderId="0" xfId="0" applyFont="1" applyAlignment="1">
      <alignment horizontal="center"/>
    </xf>
    <xf numFmtId="0" fontId="12" fillId="2" borderId="1" xfId="0" applyFont="1" applyFill="1" applyBorder="1" applyAlignment="1">
      <alignment horizontal="center" vertical="center" wrapText="1"/>
    </xf>
    <xf numFmtId="0" fontId="12" fillId="2" borderId="3"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3"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6" xfId="0" applyFont="1" applyFill="1" applyBorder="1" applyAlignment="1">
      <alignment horizontal="left" vertical="center" wrapText="1"/>
    </xf>
    <xf numFmtId="0" fontId="19" fillId="0" borderId="1" xfId="0" applyFont="1" applyBorder="1" applyAlignment="1">
      <alignment horizontal="center"/>
    </xf>
    <xf numFmtId="0" fontId="6" fillId="0" borderId="0" xfId="0" applyFont="1" applyBorder="1" applyAlignment="1">
      <alignment horizont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2" borderId="5" xfId="0" applyFont="1" applyFill="1" applyBorder="1" applyAlignment="1">
      <alignment horizontal="left" vertical="center"/>
    </xf>
    <xf numFmtId="0" fontId="11" fillId="2" borderId="4" xfId="0" applyFont="1" applyFill="1" applyBorder="1" applyAlignment="1">
      <alignment horizontal="left" vertical="center"/>
    </xf>
    <xf numFmtId="0" fontId="12" fillId="2" borderId="2" xfId="0" applyFont="1" applyFill="1" applyBorder="1" applyAlignment="1">
      <alignment horizontal="center" vertical="center" wrapText="1"/>
    </xf>
    <xf numFmtId="0" fontId="4" fillId="0" borderId="0" xfId="0" applyFont="1" applyAlignment="1">
      <alignment horizontal="center"/>
    </xf>
    <xf numFmtId="0" fontId="32" fillId="0" borderId="0" xfId="0" applyFont="1" applyFill="1" applyAlignment="1">
      <alignment horizontal="left" vertical="center" wrapText="1"/>
    </xf>
    <xf numFmtId="0" fontId="31" fillId="0" borderId="0" xfId="0" applyFont="1" applyFill="1" applyBorder="1" applyAlignment="1">
      <alignment horizontal="center"/>
    </xf>
    <xf numFmtId="0" fontId="31" fillId="0" borderId="0" xfId="0" applyFont="1" applyFill="1" applyAlignment="1">
      <alignment horizontal="center"/>
    </xf>
    <xf numFmtId="0" fontId="31" fillId="0" borderId="0" xfId="0" applyFont="1" applyAlignment="1">
      <alignment horizontal="center"/>
    </xf>
    <xf numFmtId="167" fontId="31" fillId="0" borderId="0" xfId="1" applyNumberFormat="1" applyFont="1" applyAlignment="1">
      <alignment horizontal="center"/>
    </xf>
    <xf numFmtId="0" fontId="34" fillId="0" borderId="1" xfId="0" applyFont="1" applyBorder="1" applyAlignment="1">
      <alignment horizontal="left" vertical="center" wrapText="1"/>
    </xf>
    <xf numFmtId="0" fontId="31" fillId="0" borderId="1" xfId="0" applyFont="1" applyBorder="1" applyAlignment="1">
      <alignment horizontal="center" vertical="center" wrapText="1"/>
    </xf>
    <xf numFmtId="0" fontId="33" fillId="0" borderId="1" xfId="0" applyFont="1" applyBorder="1" applyAlignment="1">
      <alignment horizontal="center" vertical="center" wrapText="1"/>
    </xf>
    <xf numFmtId="167" fontId="31" fillId="0" borderId="1" xfId="1" applyNumberFormat="1" applyFont="1" applyBorder="1" applyAlignment="1">
      <alignment horizontal="center"/>
    </xf>
    <xf numFmtId="0" fontId="31" fillId="0" borderId="1" xfId="0"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3</xdr:col>
      <xdr:colOff>1743075</xdr:colOff>
      <xdr:row>2</xdr:row>
      <xdr:rowOff>28575</xdr:rowOff>
    </xdr:from>
    <xdr:to>
      <xdr:col>5</xdr:col>
      <xdr:colOff>66675</xdr:colOff>
      <xdr:row>2</xdr:row>
      <xdr:rowOff>28575</xdr:rowOff>
    </xdr:to>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a:off x="5248275" y="504825"/>
          <a:ext cx="18478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809625</xdr:colOff>
      <xdr:row>2</xdr:row>
      <xdr:rowOff>0</xdr:rowOff>
    </xdr:from>
    <xdr:to>
      <xdr:col>1</xdr:col>
      <xdr:colOff>1895475</xdr:colOff>
      <xdr:row>2</xdr:row>
      <xdr:rowOff>0</xdr:rowOff>
    </xdr:to>
    <xdr:cxnSp macro="">
      <xdr:nvCxnSpPr>
        <xdr:cNvPr id="6" name="Straight Connector 5">
          <a:extLst>
            <a:ext uri="{FF2B5EF4-FFF2-40B4-BE49-F238E27FC236}">
              <a16:creationId xmlns:a16="http://schemas.microsoft.com/office/drawing/2014/main" id="{00000000-0008-0000-0100-000006000000}"/>
            </a:ext>
          </a:extLst>
        </xdr:cNvPr>
        <xdr:cNvCxnSpPr/>
      </xdr:nvCxnSpPr>
      <xdr:spPr>
        <a:xfrm>
          <a:off x="1247775" y="476250"/>
          <a:ext cx="10858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895350</xdr:colOff>
      <xdr:row>2</xdr:row>
      <xdr:rowOff>38100</xdr:rowOff>
    </xdr:from>
    <xdr:to>
      <xdr:col>4</xdr:col>
      <xdr:colOff>1116330</xdr:colOff>
      <xdr:row>2</xdr:row>
      <xdr:rowOff>38100</xdr:rowOff>
    </xdr:to>
    <xdr:cxnSp macro="">
      <xdr:nvCxnSpPr>
        <xdr:cNvPr id="2" name="Đường kết nối Thẳng 2">
          <a:extLst>
            <a:ext uri="{FF2B5EF4-FFF2-40B4-BE49-F238E27FC236}">
              <a16:creationId xmlns:a16="http://schemas.microsoft.com/office/drawing/2014/main" id="{00000000-0008-0000-0300-000002000000}"/>
            </a:ext>
          </a:extLst>
        </xdr:cNvPr>
        <xdr:cNvCxnSpPr/>
      </xdr:nvCxnSpPr>
      <xdr:spPr>
        <a:xfrm>
          <a:off x="5638800" y="514350"/>
          <a:ext cx="201168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1419225</xdr:colOff>
      <xdr:row>2</xdr:row>
      <xdr:rowOff>15875</xdr:rowOff>
    </xdr:from>
    <xdr:to>
      <xdr:col>1</xdr:col>
      <xdr:colOff>2244725</xdr:colOff>
      <xdr:row>2</xdr:row>
      <xdr:rowOff>15875</xdr:rowOff>
    </xdr:to>
    <xdr:cxnSp macro="">
      <xdr:nvCxnSpPr>
        <xdr:cNvPr id="3" name="Straight Connector 2">
          <a:extLst>
            <a:ext uri="{FF2B5EF4-FFF2-40B4-BE49-F238E27FC236}">
              <a16:creationId xmlns:a16="http://schemas.microsoft.com/office/drawing/2014/main" id="{00000000-0008-0000-0300-000003000000}"/>
            </a:ext>
          </a:extLst>
        </xdr:cNvPr>
        <xdr:cNvCxnSpPr/>
      </xdr:nvCxnSpPr>
      <xdr:spPr>
        <a:xfrm>
          <a:off x="1800225" y="492125"/>
          <a:ext cx="8255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1143000</xdr:colOff>
      <xdr:row>2</xdr:row>
      <xdr:rowOff>19050</xdr:rowOff>
    </xdr:from>
    <xdr:to>
      <xdr:col>2</xdr:col>
      <xdr:colOff>203200</xdr:colOff>
      <xdr:row>2</xdr:row>
      <xdr:rowOff>19050</xdr:rowOff>
    </xdr:to>
    <xdr:cxnSp macro="">
      <xdr:nvCxnSpPr>
        <xdr:cNvPr id="2" name="Đường kết nối Thẳng 2">
          <a:extLst>
            <a:ext uri="{FF2B5EF4-FFF2-40B4-BE49-F238E27FC236}">
              <a16:creationId xmlns:a16="http://schemas.microsoft.com/office/drawing/2014/main" id="{00000000-0008-0000-0400-000002000000}"/>
            </a:ext>
          </a:extLst>
        </xdr:cNvPr>
        <xdr:cNvCxnSpPr/>
      </xdr:nvCxnSpPr>
      <xdr:spPr>
        <a:xfrm>
          <a:off x="1495425" y="504825"/>
          <a:ext cx="5365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419100</xdr:colOff>
      <xdr:row>2</xdr:row>
      <xdr:rowOff>44450</xdr:rowOff>
    </xdr:from>
    <xdr:to>
      <xdr:col>8</xdr:col>
      <xdr:colOff>25400</xdr:colOff>
      <xdr:row>2</xdr:row>
      <xdr:rowOff>44450</xdr:rowOff>
    </xdr:to>
    <xdr:cxnSp macro="">
      <xdr:nvCxnSpPr>
        <xdr:cNvPr id="3" name="Straight Connector 2">
          <a:extLst>
            <a:ext uri="{FF2B5EF4-FFF2-40B4-BE49-F238E27FC236}">
              <a16:creationId xmlns:a16="http://schemas.microsoft.com/office/drawing/2014/main" id="{00000000-0008-0000-0400-000003000000}"/>
            </a:ext>
          </a:extLst>
        </xdr:cNvPr>
        <xdr:cNvCxnSpPr/>
      </xdr:nvCxnSpPr>
      <xdr:spPr>
        <a:xfrm>
          <a:off x="6029325" y="530225"/>
          <a:ext cx="20542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1168400</xdr:colOff>
      <xdr:row>2</xdr:row>
      <xdr:rowOff>19050</xdr:rowOff>
    </xdr:from>
    <xdr:to>
      <xdr:col>2</xdr:col>
      <xdr:colOff>127000</xdr:colOff>
      <xdr:row>2</xdr:row>
      <xdr:rowOff>19050</xdr:rowOff>
    </xdr:to>
    <xdr:cxnSp macro="">
      <xdr:nvCxnSpPr>
        <xdr:cNvPr id="2" name="Đường kết nối Thẳng 1">
          <a:extLst>
            <a:ext uri="{FF2B5EF4-FFF2-40B4-BE49-F238E27FC236}">
              <a16:creationId xmlns:a16="http://schemas.microsoft.com/office/drawing/2014/main" id="{00000000-0008-0000-0500-000002000000}"/>
            </a:ext>
          </a:extLst>
        </xdr:cNvPr>
        <xdr:cNvCxnSpPr/>
      </xdr:nvCxnSpPr>
      <xdr:spPr>
        <a:xfrm>
          <a:off x="1536700" y="501650"/>
          <a:ext cx="5080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422274</xdr:colOff>
      <xdr:row>2</xdr:row>
      <xdr:rowOff>19050</xdr:rowOff>
    </xdr:from>
    <xdr:to>
      <xdr:col>7</xdr:col>
      <xdr:colOff>1298574</xdr:colOff>
      <xdr:row>2</xdr:row>
      <xdr:rowOff>19050</xdr:rowOff>
    </xdr:to>
    <xdr:cxnSp macro="">
      <xdr:nvCxnSpPr>
        <xdr:cNvPr id="3" name="Đường kết nối Thẳng 2">
          <a:extLst>
            <a:ext uri="{FF2B5EF4-FFF2-40B4-BE49-F238E27FC236}">
              <a16:creationId xmlns:a16="http://schemas.microsoft.com/office/drawing/2014/main" id="{00000000-0008-0000-0500-000003000000}"/>
            </a:ext>
          </a:extLst>
        </xdr:cNvPr>
        <xdr:cNvCxnSpPr/>
      </xdr:nvCxnSpPr>
      <xdr:spPr>
        <a:xfrm>
          <a:off x="6194424" y="501650"/>
          <a:ext cx="19113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38100</xdr:colOff>
      <xdr:row>5</xdr:row>
      <xdr:rowOff>22225</xdr:rowOff>
    </xdr:from>
    <xdr:to>
      <xdr:col>5</xdr:col>
      <xdr:colOff>663532</xdr:colOff>
      <xdr:row>5</xdr:row>
      <xdr:rowOff>22225</xdr:rowOff>
    </xdr:to>
    <xdr:cxnSp macro="">
      <xdr:nvCxnSpPr>
        <xdr:cNvPr id="4" name="Đường kết nối Thẳng 3">
          <a:extLst>
            <a:ext uri="{FF2B5EF4-FFF2-40B4-BE49-F238E27FC236}">
              <a16:creationId xmlns:a16="http://schemas.microsoft.com/office/drawing/2014/main" id="{00000000-0008-0000-0500-000004000000}"/>
            </a:ext>
          </a:extLst>
        </xdr:cNvPr>
        <xdr:cNvCxnSpPr/>
      </xdr:nvCxnSpPr>
      <xdr:spPr>
        <a:xfrm>
          <a:off x="3619500" y="1387475"/>
          <a:ext cx="1908132"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930274</xdr:colOff>
      <xdr:row>2</xdr:row>
      <xdr:rowOff>19050</xdr:rowOff>
    </xdr:from>
    <xdr:to>
      <xdr:col>2</xdr:col>
      <xdr:colOff>276859</xdr:colOff>
      <xdr:row>2</xdr:row>
      <xdr:rowOff>19050</xdr:rowOff>
    </xdr:to>
    <xdr:cxnSp macro="">
      <xdr:nvCxnSpPr>
        <xdr:cNvPr id="2" name="Đường kết nối Thẳng 1">
          <a:extLst>
            <a:ext uri="{FF2B5EF4-FFF2-40B4-BE49-F238E27FC236}">
              <a16:creationId xmlns:a16="http://schemas.microsoft.com/office/drawing/2014/main" id="{00000000-0008-0000-0600-000002000000}"/>
            </a:ext>
          </a:extLst>
        </xdr:cNvPr>
        <xdr:cNvCxnSpPr/>
      </xdr:nvCxnSpPr>
      <xdr:spPr>
        <a:xfrm>
          <a:off x="1282699" y="504825"/>
          <a:ext cx="82296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422274</xdr:colOff>
      <xdr:row>2</xdr:row>
      <xdr:rowOff>19050</xdr:rowOff>
    </xdr:from>
    <xdr:to>
      <xdr:col>7</xdr:col>
      <xdr:colOff>1298574</xdr:colOff>
      <xdr:row>2</xdr:row>
      <xdr:rowOff>19050</xdr:rowOff>
    </xdr:to>
    <xdr:cxnSp macro="">
      <xdr:nvCxnSpPr>
        <xdr:cNvPr id="3" name="Đường kết nối Thẳng 2">
          <a:extLst>
            <a:ext uri="{FF2B5EF4-FFF2-40B4-BE49-F238E27FC236}">
              <a16:creationId xmlns:a16="http://schemas.microsoft.com/office/drawing/2014/main" id="{00000000-0008-0000-0600-000003000000}"/>
            </a:ext>
          </a:extLst>
        </xdr:cNvPr>
        <xdr:cNvCxnSpPr/>
      </xdr:nvCxnSpPr>
      <xdr:spPr>
        <a:xfrm>
          <a:off x="6194424" y="501650"/>
          <a:ext cx="19113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38100</xdr:colOff>
      <xdr:row>5</xdr:row>
      <xdr:rowOff>22225</xdr:rowOff>
    </xdr:from>
    <xdr:to>
      <xdr:col>5</xdr:col>
      <xdr:colOff>663532</xdr:colOff>
      <xdr:row>5</xdr:row>
      <xdr:rowOff>22225</xdr:rowOff>
    </xdr:to>
    <xdr:cxnSp macro="">
      <xdr:nvCxnSpPr>
        <xdr:cNvPr id="4" name="Đường kết nối Thẳng 3">
          <a:extLst>
            <a:ext uri="{FF2B5EF4-FFF2-40B4-BE49-F238E27FC236}">
              <a16:creationId xmlns:a16="http://schemas.microsoft.com/office/drawing/2014/main" id="{00000000-0008-0000-0600-000004000000}"/>
            </a:ext>
          </a:extLst>
        </xdr:cNvPr>
        <xdr:cNvCxnSpPr/>
      </xdr:nvCxnSpPr>
      <xdr:spPr>
        <a:xfrm>
          <a:off x="3619500" y="1387475"/>
          <a:ext cx="1908132"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930088</xdr:colOff>
      <xdr:row>2</xdr:row>
      <xdr:rowOff>44823</xdr:rowOff>
    </xdr:from>
    <xdr:to>
      <xdr:col>1</xdr:col>
      <xdr:colOff>2015938</xdr:colOff>
      <xdr:row>2</xdr:row>
      <xdr:rowOff>44823</xdr:rowOff>
    </xdr:to>
    <xdr:cxnSp macro="">
      <xdr:nvCxnSpPr>
        <xdr:cNvPr id="2" name="Straight Connector 1">
          <a:extLst>
            <a:ext uri="{FF2B5EF4-FFF2-40B4-BE49-F238E27FC236}">
              <a16:creationId xmlns:a16="http://schemas.microsoft.com/office/drawing/2014/main" id="{00000000-0008-0000-0800-000002000000}"/>
            </a:ext>
          </a:extLst>
        </xdr:cNvPr>
        <xdr:cNvCxnSpPr/>
      </xdr:nvCxnSpPr>
      <xdr:spPr>
        <a:xfrm>
          <a:off x="1311088" y="515470"/>
          <a:ext cx="10858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454959</xdr:colOff>
      <xdr:row>2</xdr:row>
      <xdr:rowOff>29134</xdr:rowOff>
    </xdr:from>
    <xdr:to>
      <xdr:col>5</xdr:col>
      <xdr:colOff>735554</xdr:colOff>
      <xdr:row>2</xdr:row>
      <xdr:rowOff>29134</xdr:rowOff>
    </xdr:to>
    <xdr:cxnSp macro="">
      <xdr:nvCxnSpPr>
        <xdr:cNvPr id="3" name="Straight Connector 2">
          <a:extLst>
            <a:ext uri="{FF2B5EF4-FFF2-40B4-BE49-F238E27FC236}">
              <a16:creationId xmlns:a16="http://schemas.microsoft.com/office/drawing/2014/main" id="{00000000-0008-0000-0800-000003000000}"/>
            </a:ext>
          </a:extLst>
        </xdr:cNvPr>
        <xdr:cNvCxnSpPr/>
      </xdr:nvCxnSpPr>
      <xdr:spPr>
        <a:xfrm>
          <a:off x="5598459" y="499781"/>
          <a:ext cx="173736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461596</xdr:colOff>
      <xdr:row>2</xdr:row>
      <xdr:rowOff>36634</xdr:rowOff>
    </xdr:from>
    <xdr:to>
      <xdr:col>1</xdr:col>
      <xdr:colOff>1078523</xdr:colOff>
      <xdr:row>2</xdr:row>
      <xdr:rowOff>36634</xdr:rowOff>
    </xdr:to>
    <xdr:cxnSp macro="">
      <xdr:nvCxnSpPr>
        <xdr:cNvPr id="2" name="Straight Connector 1">
          <a:extLst>
            <a:ext uri="{FF2B5EF4-FFF2-40B4-BE49-F238E27FC236}">
              <a16:creationId xmlns:a16="http://schemas.microsoft.com/office/drawing/2014/main" id="{00000000-0008-0000-0900-000002000000}"/>
            </a:ext>
          </a:extLst>
        </xdr:cNvPr>
        <xdr:cNvCxnSpPr/>
      </xdr:nvCxnSpPr>
      <xdr:spPr>
        <a:xfrm>
          <a:off x="461596" y="520211"/>
          <a:ext cx="10858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2680188</xdr:colOff>
      <xdr:row>2</xdr:row>
      <xdr:rowOff>20515</xdr:rowOff>
    </xdr:from>
    <xdr:to>
      <xdr:col>3</xdr:col>
      <xdr:colOff>350813</xdr:colOff>
      <xdr:row>2</xdr:row>
      <xdr:rowOff>20515</xdr:rowOff>
    </xdr:to>
    <xdr:cxnSp macro="">
      <xdr:nvCxnSpPr>
        <xdr:cNvPr id="3" name="Straight Connector 2">
          <a:extLst>
            <a:ext uri="{FF2B5EF4-FFF2-40B4-BE49-F238E27FC236}">
              <a16:creationId xmlns:a16="http://schemas.microsoft.com/office/drawing/2014/main" id="{00000000-0008-0000-0900-000003000000}"/>
            </a:ext>
          </a:extLst>
        </xdr:cNvPr>
        <xdr:cNvCxnSpPr/>
      </xdr:nvCxnSpPr>
      <xdr:spPr>
        <a:xfrm>
          <a:off x="4673111" y="504092"/>
          <a:ext cx="192024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1019175</xdr:colOff>
      <xdr:row>2</xdr:row>
      <xdr:rowOff>28575</xdr:rowOff>
    </xdr:from>
    <xdr:to>
      <xdr:col>1</xdr:col>
      <xdr:colOff>2025015</xdr:colOff>
      <xdr:row>2</xdr:row>
      <xdr:rowOff>28575</xdr:rowOff>
    </xdr:to>
    <xdr:cxnSp macro="">
      <xdr:nvCxnSpPr>
        <xdr:cNvPr id="2" name="Straight Connector 1">
          <a:extLst>
            <a:ext uri="{FF2B5EF4-FFF2-40B4-BE49-F238E27FC236}">
              <a16:creationId xmlns:a16="http://schemas.microsoft.com/office/drawing/2014/main" id="{00000000-0008-0000-0A00-000002000000}"/>
            </a:ext>
          </a:extLst>
        </xdr:cNvPr>
        <xdr:cNvCxnSpPr/>
      </xdr:nvCxnSpPr>
      <xdr:spPr>
        <a:xfrm>
          <a:off x="1457325" y="504825"/>
          <a:ext cx="100584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2</xdr:row>
      <xdr:rowOff>19050</xdr:rowOff>
    </xdr:from>
    <xdr:to>
      <xdr:col>4</xdr:col>
      <xdr:colOff>939165</xdr:colOff>
      <xdr:row>2</xdr:row>
      <xdr:rowOff>19050</xdr:rowOff>
    </xdr:to>
    <xdr:cxnSp macro="">
      <xdr:nvCxnSpPr>
        <xdr:cNvPr id="3" name="Straight Connector 2">
          <a:extLst>
            <a:ext uri="{FF2B5EF4-FFF2-40B4-BE49-F238E27FC236}">
              <a16:creationId xmlns:a16="http://schemas.microsoft.com/office/drawing/2014/main" id="{00000000-0008-0000-0A00-000003000000}"/>
            </a:ext>
          </a:extLst>
        </xdr:cNvPr>
        <xdr:cNvCxnSpPr/>
      </xdr:nvCxnSpPr>
      <xdr:spPr>
        <a:xfrm>
          <a:off x="5248275" y="495300"/>
          <a:ext cx="192024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NG&#212;%20TH&#192;NH%20TRUNG%20TCKH\1.%20H&#7890;%20S&#416;%20NTT%20-%20PH&#210;NG%20TCKH\14.%20D&#7920;%20&#193;N%20TH&#7882;%20X&#195;\18.%20DI%20D&#7900;I%20H&#7842;I%20PHONG,%20H&#7842;I%20THANH\5.%20&#272;&#7872;%20&#193;N%20DI%20D&#7900;I\14.%20&#272;&#7872;%20&#193;N%20SAU%20CU&#7896;C%20H&#7884;P%20TH&#7912;%202%20NG&#192;Y%2027.8.2021\5.%20l&#432;a%20ch&#7885;n\1.%20hi&#7865;p\PH&#194;N%20K&#79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gram%20Files%20(x86)\vnTools\Ufunctions.xla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NG&#212;%20TH&#192;NH%20TRUNG%20TCKH\1.%20H&#7890;%20S&#416;%20NTT%20-%20PH&#210;NG%20TCKH\14.%20D&#7920;%20&#193;N%20TH&#7882;%20X&#195;\18.%20DI%20D&#7900;I%20H&#7842;I%20PHONG,%20H&#7842;I%20THANH\5.%20&#272;&#7872;%20&#193;N%20DI%20D&#7900;I\18.%20UBND%20T&#7880;NH%20H&#7884;P%20NGHE%20&#272;&#7872;%20&#193;N%20L&#7846;N%201\1.%20HI&#7878;P\D&#7920;%20TO&#193;N%20KHU%20VUC%20DI%20DOI%20HAI%20PHON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NG&#212;%20TH&#192;NH%20TRUNG%20TCKH\1.%20H&#7890;%20S&#416;%20NTT%20-%20PH&#210;NG%20TCKH\14.%20D&#7920;%20&#193;N%20TH&#7882;%20X&#195;\18.%20DI%20D&#7900;I%20H&#7842;I%20PHONG,%20H&#7842;I%20THANH\5.%20&#272;&#7872;%20&#193;N%20DI%20D&#7900;I\14.%20&#272;&#7872;%20&#193;N%20SAU%20CU&#7896;C%20H&#7884;P%20TH&#7912;%202%20NG&#192;Y%2027.8.2021\1.%20PHUONG%20AN%20HP\2B.%20PL%20H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4"/>
      <sheetName val="PL1;3 PHAN KY"/>
      <sheetName val="PHU LUC 1"/>
      <sheetName val="PL 2"/>
      <sheetName val="PL2.hđbt"/>
      <sheetName val="PL4. Quy hoach"/>
      <sheetName val="PL 5"/>
      <sheetName val="PL6"/>
      <sheetName val="PL3"/>
      <sheetName val="Sheet1"/>
      <sheetName val="Sheet2"/>
    </sheetNames>
    <sheetDataSet>
      <sheetData sheetId="0" refreshError="1"/>
      <sheetData sheetId="1" refreshError="1">
        <row r="36">
          <cell r="O36">
            <v>1423.2695879211942</v>
          </cell>
        </row>
      </sheetData>
      <sheetData sheetId="2" refreshError="1"/>
      <sheetData sheetId="3" refreshError="1"/>
      <sheetData sheetId="4" refreshError="1"/>
      <sheetData sheetId="5" refreshError="1"/>
      <sheetData sheetId="6" refreshError="1"/>
      <sheetData sheetId="7" refreshError="1"/>
      <sheetData sheetId="8" refreshError="1">
        <row r="1190">
          <cell r="H1190">
            <v>0</v>
          </cell>
        </row>
        <row r="1191">
          <cell r="H1191">
            <v>0</v>
          </cell>
        </row>
        <row r="1192">
          <cell r="H1192">
            <v>0</v>
          </cell>
        </row>
        <row r="1199">
          <cell r="H1199">
            <v>111</v>
          </cell>
        </row>
        <row r="1200">
          <cell r="H1200">
            <v>395</v>
          </cell>
        </row>
        <row r="1201">
          <cell r="H1201">
            <v>365</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Base"/>
      <sheetName val="vniBase"/>
      <sheetName val="abcBase"/>
      <sheetName val="Ufunctions"/>
    </sheetNames>
    <definedNames>
      <definedName name="VND"/>
    </defined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xz"/>
      <sheetName val="dự toán "/>
      <sheetName val="Sheet2"/>
      <sheetName val="Sheet3"/>
    </sheetNames>
    <sheetDataSet>
      <sheetData sheetId="0"/>
      <sheetData sheetId="1">
        <row r="32">
          <cell r="H32">
            <v>1458332817000</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4"/>
      <sheetName val="PL1;3 PHAN KY"/>
      <sheetName val="PHU LUC 1"/>
      <sheetName val="PL 2"/>
      <sheetName val="PL2.hđbt"/>
      <sheetName val="PL4. Quy hoach"/>
      <sheetName val="PL 5"/>
      <sheetName val="PL6"/>
      <sheetName val="PL3"/>
      <sheetName val="Sheet1"/>
      <sheetName val="Sheet2"/>
    </sheetNames>
    <sheetDataSet>
      <sheetData sheetId="0"/>
      <sheetData sheetId="1"/>
      <sheetData sheetId="2">
        <row r="13">
          <cell r="C13">
            <v>791750</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I11"/>
  <sheetViews>
    <sheetView topLeftCell="A7" zoomScaleNormal="100" zoomScaleSheetLayoutView="130" workbookViewId="0">
      <selection activeCell="D9" sqref="D9"/>
    </sheetView>
  </sheetViews>
  <sheetFormatPr defaultRowHeight="18.75"/>
  <cols>
    <col min="1" max="1" width="7" style="55" customWidth="1"/>
    <col min="2" max="2" width="22.85546875" style="55" customWidth="1"/>
    <col min="3" max="3" width="63.7109375" style="55" customWidth="1"/>
    <col min="4" max="4" width="16.5703125" style="55" customWidth="1"/>
    <col min="5" max="5" width="15" style="55" customWidth="1"/>
    <col min="6" max="6" width="13.42578125" style="55" customWidth="1"/>
    <col min="7" max="8" width="9.140625" style="55"/>
    <col min="9" max="9" width="14.140625" style="55" customWidth="1"/>
    <col min="10" max="16384" width="9.140625" style="55"/>
  </cols>
  <sheetData>
    <row r="1" spans="1:9">
      <c r="A1" s="258" t="str">
        <f>+'PL1. DS'!$A$1:$C$1</f>
        <v>ỦY BAN NHÂN DÂN</v>
      </c>
      <c r="B1" s="258"/>
      <c r="C1" s="258" t="s">
        <v>0</v>
      </c>
      <c r="D1" s="258"/>
      <c r="E1" s="258"/>
      <c r="F1" s="258"/>
    </row>
    <row r="2" spans="1:9">
      <c r="A2" s="258" t="str">
        <f>+'PL1. DS'!$A$2:$C$2</f>
        <v>THỊ XÃ KỲ ANH</v>
      </c>
      <c r="B2" s="258"/>
      <c r="C2" s="258" t="s">
        <v>1</v>
      </c>
      <c r="D2" s="258"/>
      <c r="E2" s="258"/>
      <c r="F2" s="258"/>
    </row>
    <row r="4" spans="1:9">
      <c r="A4" s="258" t="s">
        <v>181</v>
      </c>
      <c r="B4" s="258"/>
      <c r="C4" s="258"/>
      <c r="D4" s="258"/>
      <c r="E4" s="258"/>
      <c r="F4" s="258"/>
    </row>
    <row r="6" spans="1:9">
      <c r="A6" s="121" t="s">
        <v>97</v>
      </c>
      <c r="B6" s="121" t="s">
        <v>177</v>
      </c>
      <c r="C6" s="121" t="s">
        <v>178</v>
      </c>
      <c r="D6" s="121" t="s">
        <v>179</v>
      </c>
      <c r="E6" s="121" t="s">
        <v>98</v>
      </c>
      <c r="F6" s="121" t="s">
        <v>7</v>
      </c>
    </row>
    <row r="7" spans="1:9">
      <c r="A7" s="121"/>
      <c r="B7" s="156"/>
      <c r="C7" s="156" t="s">
        <v>180</v>
      </c>
      <c r="D7" s="157">
        <f>+'3. PL3'!D19</f>
        <v>2139682.9440000001</v>
      </c>
      <c r="E7" s="158" t="s">
        <v>96</v>
      </c>
      <c r="F7" s="121"/>
    </row>
    <row r="8" spans="1:9" ht="131.25">
      <c r="A8" s="114">
        <v>1</v>
      </c>
      <c r="B8" s="145" t="s">
        <v>218</v>
      </c>
      <c r="C8" s="145" t="s">
        <v>219</v>
      </c>
      <c r="D8" s="159">
        <f>+I9</f>
        <v>513702.09138920781</v>
      </c>
      <c r="E8" s="160" t="s">
        <v>139</v>
      </c>
      <c r="F8" s="115"/>
      <c r="H8" s="55">
        <v>871</v>
      </c>
      <c r="I8" s="256">
        <f>+'3. PL3'!D17-4000</f>
        <v>2033793.28</v>
      </c>
    </row>
    <row r="9" spans="1:9" ht="150">
      <c r="A9" s="114">
        <v>2</v>
      </c>
      <c r="B9" s="145" t="s">
        <v>221</v>
      </c>
      <c r="C9" s="145" t="s">
        <v>220</v>
      </c>
      <c r="D9" s="159">
        <f>+D7-D8</f>
        <v>1625980.8526107923</v>
      </c>
      <c r="E9" s="160" t="s">
        <v>139</v>
      </c>
      <c r="F9" s="115"/>
      <c r="H9" s="55">
        <v>220</v>
      </c>
      <c r="I9" s="256">
        <f>+I8*H9/H8</f>
        <v>513702.09138920781</v>
      </c>
    </row>
    <row r="10" spans="1:9">
      <c r="C10" s="155"/>
      <c r="I10" s="257" t="e">
        <f>+#REF!</f>
        <v>#REF!</v>
      </c>
    </row>
    <row r="11" spans="1:9">
      <c r="I11" s="157" t="e">
        <f>+SUM(I9:I10)</f>
        <v>#REF!</v>
      </c>
    </row>
  </sheetData>
  <mergeCells count="5">
    <mergeCell ref="A4:F4"/>
    <mergeCell ref="A1:B1"/>
    <mergeCell ref="C1:F1"/>
    <mergeCell ref="A2:B2"/>
    <mergeCell ref="C2:F2"/>
  </mergeCells>
  <printOptions horizontalCentered="1"/>
  <pageMargins left="0.25" right="0.25" top="1" bottom="0.25" header="0" footer="0"/>
  <pageSetup paperSize="9" orientation="landscape"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I20"/>
  <sheetViews>
    <sheetView topLeftCell="A4" workbookViewId="0">
      <selection activeCell="E12" sqref="E12"/>
    </sheetView>
  </sheetViews>
  <sheetFormatPr defaultColWidth="13.5703125" defaultRowHeight="18.75"/>
  <cols>
    <col min="1" max="1" width="6.5703125" style="163" customWidth="1"/>
    <col min="2" max="2" width="52.85546875" style="163" customWidth="1"/>
    <col min="3" max="3" width="16.85546875" style="172" customWidth="1"/>
    <col min="4" max="4" width="17.140625" style="163" customWidth="1"/>
    <col min="5" max="5" width="17.5703125" style="163" customWidth="1"/>
    <col min="6" max="6" width="16.28515625" style="163" customWidth="1"/>
    <col min="7" max="16384" width="13.5703125" style="163"/>
  </cols>
  <sheetData>
    <row r="1" spans="1:6">
      <c r="A1" s="343" t="str">
        <f>+'3. PL3'!A1:B1</f>
        <v>ỦY BAN NHÂN DÂN</v>
      </c>
      <c r="B1" s="343"/>
      <c r="C1" s="344" t="s">
        <v>0</v>
      </c>
      <c r="D1" s="344"/>
      <c r="E1" s="344"/>
      <c r="F1" s="344"/>
    </row>
    <row r="2" spans="1:6">
      <c r="A2" s="343" t="str">
        <f>+'3. PL3'!A2:B2</f>
        <v>THỊ XÃ KỲ ANH</v>
      </c>
      <c r="B2" s="343"/>
      <c r="C2" s="344" t="s">
        <v>1</v>
      </c>
      <c r="D2" s="344"/>
      <c r="E2" s="344"/>
      <c r="F2" s="344"/>
    </row>
    <row r="4" spans="1:6">
      <c r="A4" s="343" t="s">
        <v>203</v>
      </c>
      <c r="B4" s="343"/>
      <c r="C4" s="343"/>
      <c r="D4" s="343"/>
      <c r="E4" s="343"/>
      <c r="F4" s="343"/>
    </row>
    <row r="6" spans="1:6">
      <c r="A6" s="346" t="s">
        <v>97</v>
      </c>
      <c r="B6" s="346" t="s">
        <v>188</v>
      </c>
      <c r="C6" s="348" t="s">
        <v>189</v>
      </c>
      <c r="D6" s="348"/>
      <c r="E6" s="349" t="s">
        <v>190</v>
      </c>
      <c r="F6" s="349"/>
    </row>
    <row r="7" spans="1:6">
      <c r="A7" s="346"/>
      <c r="B7" s="347"/>
      <c r="C7" s="164" t="s">
        <v>191</v>
      </c>
      <c r="D7" s="165" t="s">
        <v>192</v>
      </c>
      <c r="E7" s="164" t="str">
        <f>+C7</f>
        <v>Diện tích (m2)</v>
      </c>
      <c r="F7" s="165" t="s">
        <v>192</v>
      </c>
    </row>
    <row r="8" spans="1:6">
      <c r="A8" s="165">
        <v>1</v>
      </c>
      <c r="B8" s="166" t="s">
        <v>193</v>
      </c>
      <c r="C8" s="164">
        <v>232751</v>
      </c>
      <c r="D8" s="167">
        <f>+C8/$C$17*100</f>
        <v>29.334084484320982</v>
      </c>
      <c r="E8" s="164">
        <v>232751</v>
      </c>
      <c r="F8" s="167">
        <f>+E8/$E$17*100</f>
        <v>39.361059860685273</v>
      </c>
    </row>
    <row r="9" spans="1:6">
      <c r="A9" s="165">
        <v>2</v>
      </c>
      <c r="B9" s="166" t="s">
        <v>194</v>
      </c>
      <c r="C9" s="164">
        <v>6033</v>
      </c>
      <c r="D9" s="167">
        <f t="shared" ref="D9:D16" si="0">+C9/$C$17*100</f>
        <v>0.76035132692838481</v>
      </c>
      <c r="E9" s="164">
        <v>6033</v>
      </c>
      <c r="F9" s="167">
        <f t="shared" ref="F9:F16" si="1">+E9/$E$17*100</f>
        <v>1.0202545816753279</v>
      </c>
    </row>
    <row r="10" spans="1:6">
      <c r="A10" s="165">
        <v>3</v>
      </c>
      <c r="B10" s="166" t="s">
        <v>195</v>
      </c>
      <c r="C10" s="164">
        <v>19418</v>
      </c>
      <c r="D10" s="167">
        <f t="shared" si="0"/>
        <v>2.4472902480184611</v>
      </c>
      <c r="E10" s="164">
        <v>19418</v>
      </c>
      <c r="F10" s="167">
        <f t="shared" si="1"/>
        <v>3.2838228852928095</v>
      </c>
    </row>
    <row r="11" spans="1:6">
      <c r="A11" s="165">
        <v>4</v>
      </c>
      <c r="B11" s="166" t="s">
        <v>196</v>
      </c>
      <c r="C11" s="164">
        <v>144660</v>
      </c>
      <c r="D11" s="167">
        <f t="shared" si="0"/>
        <v>18.231795616353413</v>
      </c>
      <c r="E11" s="164">
        <v>80000</v>
      </c>
      <c r="F11" s="167">
        <f t="shared" si="1"/>
        <v>13.528985004811245</v>
      </c>
    </row>
    <row r="12" spans="1:6">
      <c r="A12" s="165">
        <v>5</v>
      </c>
      <c r="B12" s="166" t="s">
        <v>197</v>
      </c>
      <c r="C12" s="164">
        <v>12245</v>
      </c>
      <c r="D12" s="167">
        <f t="shared" si="0"/>
        <v>1.5432623898952547</v>
      </c>
      <c r="E12" s="164">
        <v>12245</v>
      </c>
      <c r="F12" s="167">
        <f t="shared" si="1"/>
        <v>2.0707802672989213</v>
      </c>
    </row>
    <row r="13" spans="1:6">
      <c r="A13" s="165">
        <v>6</v>
      </c>
      <c r="B13" s="166" t="s">
        <v>198</v>
      </c>
      <c r="C13" s="164">
        <v>5811</v>
      </c>
      <c r="D13" s="167">
        <f t="shared" si="0"/>
        <v>0.7323722129588669</v>
      </c>
      <c r="E13" s="164">
        <v>5811</v>
      </c>
      <c r="F13" s="167">
        <f t="shared" si="1"/>
        <v>0.98271164828697688</v>
      </c>
    </row>
    <row r="14" spans="1:6" ht="37.5">
      <c r="A14" s="165">
        <v>7</v>
      </c>
      <c r="B14" s="166" t="s">
        <v>199</v>
      </c>
      <c r="C14" s="164">
        <v>128936</v>
      </c>
      <c r="D14" s="167">
        <f t="shared" si="0"/>
        <v>16.25006774222414</v>
      </c>
      <c r="E14" s="164">
        <v>0</v>
      </c>
      <c r="F14" s="167">
        <f t="shared" si="1"/>
        <v>0</v>
      </c>
    </row>
    <row r="15" spans="1:6">
      <c r="A15" s="165">
        <v>8</v>
      </c>
      <c r="B15" s="166" t="s">
        <v>200</v>
      </c>
      <c r="C15" s="164">
        <v>8530</v>
      </c>
      <c r="D15" s="167">
        <f t="shared" si="0"/>
        <v>1.0750533430630071</v>
      </c>
      <c r="E15" s="164">
        <v>0</v>
      </c>
      <c r="F15" s="167">
        <f t="shared" si="1"/>
        <v>0</v>
      </c>
    </row>
    <row r="16" spans="1:6">
      <c r="A16" s="165">
        <v>9</v>
      </c>
      <c r="B16" s="166" t="s">
        <v>201</v>
      </c>
      <c r="C16" s="164">
        <v>235065</v>
      </c>
      <c r="D16" s="167">
        <f t="shared" si="0"/>
        <v>29.625722636237491</v>
      </c>
      <c r="E16" s="164">
        <v>235065</v>
      </c>
      <c r="F16" s="167">
        <f t="shared" si="1"/>
        <v>39.75238575194944</v>
      </c>
    </row>
    <row r="17" spans="1:9">
      <c r="A17" s="165"/>
      <c r="B17" s="168" t="s">
        <v>53</v>
      </c>
      <c r="C17" s="169">
        <f>+SUM(C8:C16)</f>
        <v>793449</v>
      </c>
      <c r="D17" s="170">
        <f>+SUM(D8:D16)</f>
        <v>100</v>
      </c>
      <c r="E17" s="169">
        <f>+SUM(E8:E16)</f>
        <v>591323</v>
      </c>
      <c r="F17" s="170">
        <f>+SUM(F8:F16)</f>
        <v>100</v>
      </c>
      <c r="G17" s="163">
        <f>+'[4]PHU LUC 1'!C13</f>
        <v>791750</v>
      </c>
      <c r="H17" s="171">
        <f>+G17-E17</f>
        <v>200427</v>
      </c>
      <c r="I17" s="163">
        <f>+H17/10000</f>
        <v>20.0427</v>
      </c>
    </row>
    <row r="18" spans="1:9">
      <c r="A18" s="165"/>
      <c r="B18" s="168" t="s">
        <v>212</v>
      </c>
      <c r="C18" s="169"/>
      <c r="D18" s="170"/>
      <c r="E18" s="169">
        <v>16632</v>
      </c>
      <c r="F18" s="170"/>
      <c r="H18" s="171"/>
    </row>
    <row r="19" spans="1:9">
      <c r="A19" s="165"/>
      <c r="B19" s="168" t="s">
        <v>93</v>
      </c>
      <c r="C19" s="169"/>
      <c r="D19" s="170"/>
      <c r="E19" s="169">
        <f>+E17-E18</f>
        <v>574691</v>
      </c>
      <c r="F19" s="170"/>
      <c r="H19" s="171"/>
    </row>
    <row r="20" spans="1:9" ht="40.5" customHeight="1">
      <c r="A20" s="165"/>
      <c r="B20" s="345" t="s">
        <v>202</v>
      </c>
      <c r="C20" s="345"/>
      <c r="D20" s="345"/>
      <c r="E20" s="345"/>
      <c r="F20" s="345"/>
    </row>
  </sheetData>
  <mergeCells count="10">
    <mergeCell ref="A1:B1"/>
    <mergeCell ref="A2:B2"/>
    <mergeCell ref="C1:F1"/>
    <mergeCell ref="C2:F2"/>
    <mergeCell ref="B20:F20"/>
    <mergeCell ref="A4:F4"/>
    <mergeCell ref="A6:A7"/>
    <mergeCell ref="B6:B7"/>
    <mergeCell ref="C6:D6"/>
    <mergeCell ref="E6:F6"/>
  </mergeCells>
  <printOptions horizontalCentered="1"/>
  <pageMargins left="0.5" right="0.5" top="1" bottom="0.25" header="0" footer="0.25"/>
  <pageSetup paperSize="9" orientation="landscape" horizontalDpi="0"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S105"/>
  <sheetViews>
    <sheetView workbookViewId="0">
      <pane ySplit="2" topLeftCell="A3" activePane="bottomLeft" state="frozen"/>
      <selection pane="bottomLeft" activeCell="K37" sqref="K37"/>
    </sheetView>
  </sheetViews>
  <sheetFormatPr defaultRowHeight="15"/>
  <cols>
    <col min="3" max="3" width="15.28515625" customWidth="1"/>
    <col min="13" max="13" width="11.42578125" customWidth="1"/>
    <col min="16" max="16" width="13" customWidth="1"/>
  </cols>
  <sheetData>
    <row r="2" spans="1:16" s="6" customFormat="1">
      <c r="A2" s="5" t="s">
        <v>9</v>
      </c>
      <c r="B2" s="5" t="s">
        <v>10</v>
      </c>
      <c r="C2" s="5" t="s">
        <v>11</v>
      </c>
      <c r="D2" s="5" t="s">
        <v>12</v>
      </c>
      <c r="E2" s="5" t="s">
        <v>13</v>
      </c>
      <c r="F2" s="5" t="s">
        <v>14</v>
      </c>
      <c r="G2" s="5" t="s">
        <v>15</v>
      </c>
      <c r="H2" s="5" t="s">
        <v>16</v>
      </c>
      <c r="I2" s="5" t="s">
        <v>17</v>
      </c>
      <c r="J2" s="5" t="s">
        <v>18</v>
      </c>
      <c r="K2" s="5" t="s">
        <v>19</v>
      </c>
      <c r="L2" s="5" t="s">
        <v>20</v>
      </c>
      <c r="M2" s="5" t="s">
        <v>21</v>
      </c>
      <c r="N2" s="5" t="s">
        <v>22</v>
      </c>
      <c r="O2" s="6" t="s">
        <v>23</v>
      </c>
      <c r="P2" s="6" t="s">
        <v>24</v>
      </c>
    </row>
    <row r="3" spans="1:16">
      <c r="A3" s="4">
        <f>6*3</f>
        <v>18</v>
      </c>
      <c r="B3" s="4">
        <f>6*2</f>
        <v>12</v>
      </c>
      <c r="C3" s="4">
        <f>8*4.2</f>
        <v>33.6</v>
      </c>
      <c r="D3" s="4">
        <f>5*6</f>
        <v>30</v>
      </c>
      <c r="E3" s="4">
        <f>7*3.5</f>
        <v>24.5</v>
      </c>
      <c r="F3" s="4">
        <f>15*30*2.2</f>
        <v>990.00000000000011</v>
      </c>
      <c r="G3" s="4">
        <f>90*2.5*0.5</f>
        <v>112.5</v>
      </c>
      <c r="H3" s="4">
        <f>400*1.3</f>
        <v>520</v>
      </c>
      <c r="I3" s="4">
        <v>200</v>
      </c>
      <c r="J3" s="4">
        <f>120*1.2*0.9</f>
        <v>129.6</v>
      </c>
      <c r="K3" s="4">
        <v>150</v>
      </c>
      <c r="L3" s="4">
        <f>10*3</f>
        <v>30</v>
      </c>
      <c r="M3" s="4">
        <v>24</v>
      </c>
      <c r="N3" s="4"/>
    </row>
    <row r="4" spans="1:16">
      <c r="A4" s="4">
        <f>7*5</f>
        <v>35</v>
      </c>
      <c r="B4" s="4">
        <f>6*3.2</f>
        <v>19.200000000000003</v>
      </c>
      <c r="C4" s="4">
        <f>8*3.5</f>
        <v>28</v>
      </c>
      <c r="D4" s="4">
        <f>8*5</f>
        <v>40</v>
      </c>
      <c r="E4" s="4">
        <f>6*7</f>
        <v>42</v>
      </c>
      <c r="F4" s="4">
        <f>22*15*1.9</f>
        <v>627</v>
      </c>
      <c r="G4" s="4">
        <f>50*0.8*0.4</f>
        <v>16</v>
      </c>
      <c r="H4" s="4">
        <f>30*1</f>
        <v>30</v>
      </c>
      <c r="I4" s="4"/>
      <c r="J4" s="4"/>
      <c r="K4" s="4">
        <v>80</v>
      </c>
      <c r="L4" s="4"/>
      <c r="M4" s="4"/>
      <c r="N4" s="4"/>
    </row>
    <row r="5" spans="1:16">
      <c r="A5" s="4">
        <f>6*7</f>
        <v>42</v>
      </c>
      <c r="B5" s="4">
        <f>6.5*3.5</f>
        <v>22.75</v>
      </c>
      <c r="C5" s="4">
        <f>2.4*4</f>
        <v>9.6</v>
      </c>
      <c r="D5" s="4">
        <f>7*7.5</f>
        <v>52.5</v>
      </c>
      <c r="E5" s="4">
        <f>6.5*3.2</f>
        <v>20.8</v>
      </c>
      <c r="F5" s="4">
        <f>9*11*3</f>
        <v>297</v>
      </c>
      <c r="G5" s="4">
        <f>60*0.7*0.3</f>
        <v>12.6</v>
      </c>
      <c r="H5" s="4">
        <v>60</v>
      </c>
      <c r="I5" s="4"/>
      <c r="J5" s="4"/>
      <c r="K5" s="4">
        <v>180</v>
      </c>
      <c r="L5" s="4"/>
      <c r="M5" s="4"/>
      <c r="N5" s="4"/>
    </row>
    <row r="6" spans="1:16">
      <c r="A6" s="4">
        <v>28</v>
      </c>
      <c r="B6" s="4">
        <f>7*3.5</f>
        <v>24.5</v>
      </c>
      <c r="C6" s="4">
        <f>8*3</f>
        <v>24</v>
      </c>
      <c r="D6" s="4">
        <f>6*5</f>
        <v>30</v>
      </c>
      <c r="E6" s="4">
        <f>5.5*6.8</f>
        <v>37.4</v>
      </c>
      <c r="F6" s="4">
        <f>30*1.5*15</f>
        <v>675</v>
      </c>
      <c r="G6" s="4"/>
      <c r="H6" s="4">
        <f>50*1.2</f>
        <v>60</v>
      </c>
      <c r="I6" s="4"/>
      <c r="J6" s="4"/>
      <c r="K6" s="4">
        <v>90</v>
      </c>
      <c r="L6" s="4"/>
      <c r="M6" s="4"/>
      <c r="N6" s="4"/>
    </row>
    <row r="7" spans="1:16">
      <c r="A7" s="4">
        <v>35</v>
      </c>
      <c r="B7" s="4"/>
      <c r="C7" s="4">
        <f>9*3</f>
        <v>27</v>
      </c>
      <c r="D7" s="4">
        <f>4*7.5</f>
        <v>30</v>
      </c>
      <c r="E7" s="4">
        <f>40</f>
        <v>40</v>
      </c>
      <c r="F7" s="4"/>
      <c r="G7" s="4"/>
      <c r="H7" s="4">
        <v>70</v>
      </c>
      <c r="I7" s="4"/>
      <c r="J7" s="4"/>
      <c r="K7" s="4">
        <v>90</v>
      </c>
      <c r="L7" s="4"/>
      <c r="M7" s="4"/>
      <c r="N7" s="4"/>
    </row>
    <row r="8" spans="1:16">
      <c r="A8" s="4">
        <v>24</v>
      </c>
      <c r="B8" s="4"/>
      <c r="C8" s="4">
        <f>12*4.5</f>
        <v>54</v>
      </c>
      <c r="D8" s="4">
        <f>7*4.5</f>
        <v>31.5</v>
      </c>
      <c r="E8" s="4">
        <f>18*6</f>
        <v>108</v>
      </c>
      <c r="F8" s="4"/>
      <c r="G8" s="4"/>
      <c r="H8" s="4">
        <f>30*1.2</f>
        <v>36</v>
      </c>
      <c r="I8" s="4"/>
      <c r="J8" s="4"/>
      <c r="K8" s="4">
        <v>100</v>
      </c>
      <c r="L8" s="4"/>
      <c r="M8" s="4"/>
      <c r="N8" s="4"/>
    </row>
    <row r="9" spans="1:16">
      <c r="A9" s="4">
        <v>40</v>
      </c>
      <c r="B9" s="4"/>
      <c r="C9" s="4">
        <f>12*2.7</f>
        <v>32.400000000000006</v>
      </c>
      <c r="D9" s="4">
        <f>7.5*8</f>
        <v>60</v>
      </c>
      <c r="E9" s="4">
        <v>30</v>
      </c>
      <c r="F9" s="4"/>
      <c r="G9" s="4"/>
      <c r="H9" s="4"/>
      <c r="I9" s="4"/>
      <c r="J9" s="4"/>
      <c r="K9" s="4">
        <v>150</v>
      </c>
      <c r="L9" s="4"/>
      <c r="M9" s="4"/>
      <c r="N9" s="4"/>
    </row>
    <row r="10" spans="1:16">
      <c r="A10" s="4">
        <v>42</v>
      </c>
      <c r="B10" s="4"/>
      <c r="C10" s="4">
        <f>9*2.5</f>
        <v>22.5</v>
      </c>
      <c r="D10" s="4">
        <v>40</v>
      </c>
      <c r="E10" s="4">
        <v>32</v>
      </c>
      <c r="F10" s="4"/>
      <c r="G10" s="4"/>
      <c r="H10" s="4"/>
      <c r="I10" s="4"/>
      <c r="J10" s="4"/>
      <c r="K10" s="4">
        <v>90</v>
      </c>
      <c r="L10" s="4"/>
      <c r="M10" s="4"/>
      <c r="N10" s="4"/>
    </row>
    <row r="11" spans="1:16">
      <c r="A11" s="4"/>
      <c r="B11" s="4"/>
      <c r="C11" s="4">
        <f>9*2.8</f>
        <v>25.2</v>
      </c>
      <c r="D11" s="4">
        <v>20</v>
      </c>
      <c r="E11" s="4">
        <v>48</v>
      </c>
      <c r="F11" s="4"/>
      <c r="G11" s="4"/>
      <c r="H11" s="4"/>
      <c r="I11" s="4"/>
      <c r="J11" s="4"/>
      <c r="K11" s="4"/>
      <c r="L11" s="4"/>
      <c r="M11" s="4"/>
      <c r="N11" s="4"/>
    </row>
    <row r="12" spans="1:16">
      <c r="A12" s="4"/>
      <c r="B12" s="4"/>
      <c r="C12" s="4">
        <f>4.7*3</f>
        <v>14.100000000000001</v>
      </c>
      <c r="D12" s="4">
        <v>40</v>
      </c>
      <c r="E12" s="4">
        <v>45</v>
      </c>
      <c r="F12" s="4"/>
      <c r="G12" s="4"/>
      <c r="H12" s="4"/>
      <c r="I12" s="4"/>
      <c r="J12" s="4"/>
      <c r="K12" s="4"/>
      <c r="L12" s="4"/>
      <c r="M12" s="4"/>
      <c r="N12" s="4"/>
    </row>
    <row r="13" spans="1:16">
      <c r="A13" s="4"/>
      <c r="B13" s="4"/>
      <c r="C13" s="4">
        <f>15*3</f>
        <v>45</v>
      </c>
      <c r="D13" s="4">
        <v>28</v>
      </c>
      <c r="E13" s="4">
        <f>5.6*8</f>
        <v>44.8</v>
      </c>
      <c r="F13" s="4"/>
      <c r="G13" s="4"/>
      <c r="H13" s="4"/>
      <c r="I13" s="4"/>
      <c r="J13" s="4"/>
      <c r="K13" s="4"/>
      <c r="L13" s="4"/>
      <c r="M13" s="4"/>
      <c r="N13" s="4"/>
    </row>
    <row r="14" spans="1:16">
      <c r="A14" s="4"/>
      <c r="B14" s="4"/>
      <c r="C14" s="4">
        <f>8.5*3.5</f>
        <v>29.75</v>
      </c>
      <c r="D14" s="4"/>
      <c r="E14" s="4">
        <v>35</v>
      </c>
      <c r="F14" s="4"/>
      <c r="G14" s="4"/>
      <c r="H14" s="4"/>
      <c r="I14" s="4"/>
      <c r="J14" s="4"/>
      <c r="K14" s="4"/>
      <c r="L14" s="4"/>
      <c r="M14" s="4"/>
      <c r="N14" s="4"/>
    </row>
    <row r="15" spans="1:16">
      <c r="A15" s="4"/>
      <c r="B15" s="4"/>
      <c r="C15" s="4">
        <v>27</v>
      </c>
      <c r="D15" s="4"/>
      <c r="E15" s="4">
        <f>4.4*7</f>
        <v>30.800000000000004</v>
      </c>
      <c r="F15" s="4"/>
      <c r="G15" s="4"/>
      <c r="H15" s="4"/>
      <c r="I15" s="4"/>
      <c r="J15" s="4"/>
      <c r="K15" s="4"/>
      <c r="L15" s="4"/>
      <c r="M15" s="4"/>
      <c r="N15" s="4"/>
      <c r="P15" s="7">
        <f>D25*D26*1.1</f>
        <v>1370820000</v>
      </c>
    </row>
    <row r="16" spans="1:16">
      <c r="A16" s="4"/>
      <c r="B16" s="4"/>
      <c r="C16" s="4">
        <f>3.5*6</f>
        <v>21</v>
      </c>
      <c r="D16" s="4"/>
      <c r="E16" s="4">
        <v>40</v>
      </c>
      <c r="F16" s="4"/>
      <c r="G16" s="4"/>
      <c r="H16" s="4"/>
      <c r="I16" s="4"/>
      <c r="J16" s="4"/>
      <c r="K16" s="4"/>
      <c r="L16" s="4"/>
      <c r="M16" s="4"/>
      <c r="N16" s="4"/>
      <c r="P16" s="7">
        <f>E25*E26*1.1</f>
        <v>2385728400</v>
      </c>
    </row>
    <row r="17" spans="1:19">
      <c r="A17" s="4"/>
      <c r="B17" s="4"/>
      <c r="C17" s="4">
        <v>28</v>
      </c>
      <c r="D17" s="4"/>
      <c r="E17" s="4">
        <v>28</v>
      </c>
      <c r="F17" s="4"/>
      <c r="G17" s="4"/>
      <c r="H17" s="4"/>
      <c r="I17" s="4"/>
      <c r="J17" s="4"/>
      <c r="K17" s="4"/>
      <c r="L17" s="4"/>
      <c r="M17" s="4"/>
      <c r="N17" s="4"/>
      <c r="P17" s="7">
        <f>A25*A26*1.1</f>
        <v>842160000.00000012</v>
      </c>
    </row>
    <row r="18" spans="1:19">
      <c r="A18" s="4"/>
      <c r="B18" s="4"/>
      <c r="C18" s="4">
        <v>12</v>
      </c>
      <c r="D18" s="4"/>
      <c r="E18" s="4">
        <v>30</v>
      </c>
      <c r="F18" s="4"/>
      <c r="G18" s="4"/>
      <c r="H18" s="4"/>
      <c r="I18" s="4"/>
      <c r="J18" s="4"/>
      <c r="K18" s="4"/>
      <c r="L18" s="4"/>
      <c r="M18" s="4"/>
      <c r="N18" s="4"/>
      <c r="P18" s="7">
        <f>C25*C26*1.1</f>
        <v>489460125.00000006</v>
      </c>
    </row>
    <row r="19" spans="1:19">
      <c r="A19" s="4"/>
      <c r="B19" s="4"/>
      <c r="C19" s="4">
        <v>21</v>
      </c>
      <c r="D19" s="4"/>
      <c r="E19" s="4">
        <v>35</v>
      </c>
      <c r="F19" s="4"/>
      <c r="G19" s="4"/>
      <c r="H19" s="4"/>
      <c r="I19" s="4"/>
      <c r="J19" s="4"/>
      <c r="K19" s="4"/>
      <c r="L19" s="4"/>
      <c r="M19" s="4"/>
      <c r="N19" s="4"/>
    </row>
    <row r="20" spans="1:19">
      <c r="A20" s="4"/>
      <c r="B20" s="4"/>
      <c r="C20" s="4">
        <f>6*2.7</f>
        <v>16.200000000000003</v>
      </c>
      <c r="D20" s="4"/>
      <c r="E20" s="4">
        <v>49</v>
      </c>
      <c r="F20" s="4"/>
      <c r="G20" s="4"/>
      <c r="H20" s="4"/>
      <c r="I20" s="4"/>
      <c r="J20" s="4"/>
      <c r="K20" s="4"/>
      <c r="L20" s="4"/>
      <c r="M20" s="4"/>
      <c r="N20" s="4"/>
    </row>
    <row r="21" spans="1:19">
      <c r="A21" s="4"/>
      <c r="B21" s="4"/>
      <c r="C21" s="4">
        <v>24</v>
      </c>
      <c r="D21" s="4"/>
      <c r="E21" s="4">
        <f>3*2.5</f>
        <v>7.5</v>
      </c>
      <c r="F21" s="4"/>
      <c r="G21" s="4"/>
      <c r="H21" s="4"/>
      <c r="I21" s="4"/>
      <c r="J21" s="4"/>
      <c r="K21" s="4"/>
      <c r="L21" s="4"/>
      <c r="M21" s="4"/>
      <c r="N21" s="4"/>
    </row>
    <row r="22" spans="1:19">
      <c r="A22" s="4"/>
      <c r="B22" s="4"/>
      <c r="C22" s="4">
        <f>3.5*4</f>
        <v>14</v>
      </c>
      <c r="D22" s="4"/>
      <c r="E22" s="4"/>
      <c r="F22" s="4"/>
      <c r="G22" s="4"/>
      <c r="H22" s="4"/>
      <c r="I22" s="4"/>
      <c r="J22" s="4"/>
      <c r="K22" s="4"/>
      <c r="L22" s="4"/>
      <c r="M22" s="4"/>
      <c r="N22" s="4"/>
    </row>
    <row r="23" spans="1:19">
      <c r="A23" s="4"/>
      <c r="B23" s="4"/>
      <c r="C23" s="4">
        <f>5*3.2</f>
        <v>16</v>
      </c>
      <c r="D23" s="4"/>
      <c r="E23" s="4"/>
      <c r="F23" s="4"/>
      <c r="G23" s="4"/>
      <c r="H23" s="4"/>
      <c r="I23" s="4"/>
      <c r="J23" s="4"/>
      <c r="K23" s="4"/>
      <c r="L23" s="4"/>
      <c r="M23" s="4"/>
      <c r="N23" s="4"/>
    </row>
    <row r="24" spans="1:19">
      <c r="A24" s="4"/>
      <c r="B24" s="4"/>
      <c r="C24" s="4">
        <v>15</v>
      </c>
      <c r="D24" s="4"/>
      <c r="E24" s="4"/>
      <c r="F24" s="4"/>
      <c r="G24" s="4"/>
      <c r="H24" s="4"/>
      <c r="I24" s="4"/>
      <c r="J24" s="4"/>
      <c r="K24" s="4"/>
      <c r="L24" s="4"/>
      <c r="M24" s="4"/>
      <c r="N24" s="4"/>
    </row>
    <row r="25" spans="1:19">
      <c r="A25" s="4">
        <f>SUM(A3:A24)</f>
        <v>264</v>
      </c>
      <c r="B25" s="4">
        <f>SUM(B3:B24)</f>
        <v>78.45</v>
      </c>
      <c r="C25" s="4">
        <f>SUM(C3:C24)</f>
        <v>539.35</v>
      </c>
      <c r="D25" s="4">
        <f t="shared" ref="D25:N25" si="0">SUM(D3:D24)</f>
        <v>402</v>
      </c>
      <c r="E25" s="4">
        <f t="shared" si="0"/>
        <v>727.8</v>
      </c>
      <c r="F25" s="4">
        <f>SUM(F3:F24)</f>
        <v>2589</v>
      </c>
      <c r="G25" s="4">
        <f t="shared" si="0"/>
        <v>141.1</v>
      </c>
      <c r="H25" s="4">
        <f t="shared" si="0"/>
        <v>776</v>
      </c>
      <c r="I25" s="4">
        <f t="shared" si="0"/>
        <v>200</v>
      </c>
      <c r="J25" s="4">
        <f>SUM(J3:J24)</f>
        <v>129.6</v>
      </c>
      <c r="K25" s="4">
        <f t="shared" si="0"/>
        <v>930</v>
      </c>
      <c r="L25" s="4">
        <f t="shared" si="0"/>
        <v>30</v>
      </c>
      <c r="M25" s="4">
        <f t="shared" si="0"/>
        <v>24</v>
      </c>
      <c r="N25" s="4">
        <f t="shared" si="0"/>
        <v>0</v>
      </c>
    </row>
    <row r="26" spans="1:19">
      <c r="A26">
        <v>2900000</v>
      </c>
      <c r="B26">
        <v>361.8</v>
      </c>
      <c r="C26">
        <v>825000</v>
      </c>
      <c r="D26">
        <v>3100000</v>
      </c>
      <c r="E26">
        <f>3100000-120000</f>
        <v>2980000</v>
      </c>
      <c r="F26">
        <v>1309.5</v>
      </c>
    </row>
    <row r="28" spans="1:19">
      <c r="A28" s="4">
        <v>35</v>
      </c>
      <c r="B28" s="4">
        <f>6*3</f>
        <v>18</v>
      </c>
      <c r="C28" s="4">
        <f>7*2.5</f>
        <v>17.5</v>
      </c>
      <c r="D28" s="4">
        <f>6.5*8</f>
        <v>52</v>
      </c>
      <c r="E28" s="4">
        <f>4.5*3.5</f>
        <v>15.75</v>
      </c>
      <c r="F28" s="4">
        <f>18*12*2</f>
        <v>432</v>
      </c>
      <c r="G28" s="4"/>
      <c r="H28" s="4">
        <v>150</v>
      </c>
      <c r="I28" s="4"/>
      <c r="J28" s="4">
        <f>3000*1.2*0.9</f>
        <v>3240</v>
      </c>
      <c r="K28" s="4">
        <v>80</v>
      </c>
      <c r="L28" s="4">
        <f>5*4.5</f>
        <v>22.5</v>
      </c>
      <c r="M28" s="4"/>
      <c r="N28" s="4">
        <f>13*6</f>
        <v>78</v>
      </c>
      <c r="O28">
        <f>8*4*1.5</f>
        <v>48</v>
      </c>
      <c r="P28">
        <f>1.2*100</f>
        <v>120</v>
      </c>
    </row>
    <row r="29" spans="1:19">
      <c r="A29" s="4">
        <f>5*6</f>
        <v>30</v>
      </c>
      <c r="B29" s="4">
        <f>6.2*4</f>
        <v>24.8</v>
      </c>
      <c r="C29" s="4">
        <f>3.5*6</f>
        <v>21</v>
      </c>
      <c r="D29" s="4">
        <v>18</v>
      </c>
      <c r="E29" s="4">
        <v>56</v>
      </c>
      <c r="F29" s="4">
        <f>25*11*2.1</f>
        <v>577.5</v>
      </c>
      <c r="G29" s="4"/>
      <c r="H29" s="4">
        <v>165</v>
      </c>
      <c r="I29" s="4"/>
      <c r="J29" s="4"/>
      <c r="K29" s="4">
        <v>70</v>
      </c>
      <c r="L29" s="4">
        <f>11*3</f>
        <v>33</v>
      </c>
      <c r="M29" s="4"/>
      <c r="N29" s="4">
        <f>5*15</f>
        <v>75</v>
      </c>
      <c r="S29">
        <f>1380+78.45+361.8</f>
        <v>1820.25</v>
      </c>
    </row>
    <row r="30" spans="1:19">
      <c r="A30" s="4">
        <f>35</f>
        <v>35</v>
      </c>
      <c r="B30" s="4">
        <f>5*3.8</f>
        <v>19</v>
      </c>
      <c r="C30" s="4">
        <f>13*7</f>
        <v>91</v>
      </c>
      <c r="D30" s="4">
        <v>24</v>
      </c>
      <c r="E30" s="4">
        <v>35</v>
      </c>
      <c r="F30" s="4">
        <v>300</v>
      </c>
      <c r="G30" s="4"/>
      <c r="H30" s="4">
        <f>50*0.9</f>
        <v>45</v>
      </c>
      <c r="I30" s="4"/>
      <c r="J30" s="4"/>
      <c r="K30" s="4">
        <v>90</v>
      </c>
      <c r="L30" s="4">
        <v>32</v>
      </c>
      <c r="M30" s="4"/>
      <c r="N30" s="4">
        <f>17*6</f>
        <v>102</v>
      </c>
    </row>
    <row r="31" spans="1:19">
      <c r="A31" s="4">
        <v>18</v>
      </c>
      <c r="B31" s="4">
        <v>72</v>
      </c>
      <c r="C31" s="4">
        <f>12*6</f>
        <v>72</v>
      </c>
      <c r="D31" s="4">
        <v>16</v>
      </c>
      <c r="E31" s="4">
        <v>15</v>
      </c>
      <c r="F31" s="4"/>
      <c r="G31" s="4"/>
      <c r="H31" s="4">
        <v>700</v>
      </c>
      <c r="I31" s="4"/>
      <c r="J31" s="4"/>
      <c r="K31" s="4">
        <v>70</v>
      </c>
      <c r="L31" s="4">
        <v>42</v>
      </c>
      <c r="M31" s="4"/>
      <c r="N31" s="4">
        <f>11*5</f>
        <v>55</v>
      </c>
    </row>
    <row r="32" spans="1:19">
      <c r="A32" s="4">
        <v>35</v>
      </c>
      <c r="B32" s="4">
        <v>24</v>
      </c>
      <c r="C32" s="4">
        <v>28</v>
      </c>
      <c r="D32" s="4">
        <v>28</v>
      </c>
      <c r="E32" s="4"/>
      <c r="F32" s="4"/>
      <c r="G32" s="4"/>
      <c r="H32" s="4">
        <v>800</v>
      </c>
      <c r="I32" s="4"/>
      <c r="J32" s="4"/>
      <c r="K32" s="4">
        <v>200</v>
      </c>
      <c r="L32" s="4">
        <f>22*3.2</f>
        <v>70.400000000000006</v>
      </c>
      <c r="M32" s="4"/>
      <c r="N32" s="4">
        <f>17*5</f>
        <v>85</v>
      </c>
      <c r="P32">
        <f>132*40</f>
        <v>5280</v>
      </c>
    </row>
    <row r="33" spans="1:14">
      <c r="A33" s="4">
        <v>35</v>
      </c>
      <c r="B33" s="4">
        <f>6*3.5</f>
        <v>21</v>
      </c>
      <c r="C33" s="4">
        <f>4.1*8</f>
        <v>32.799999999999997</v>
      </c>
      <c r="D33" s="4">
        <v>12</v>
      </c>
      <c r="E33" s="4"/>
      <c r="F33" s="4"/>
      <c r="G33" s="4"/>
      <c r="H33" s="4">
        <v>50</v>
      </c>
      <c r="I33" s="4"/>
      <c r="J33" s="4"/>
      <c r="K33" s="4">
        <v>50</v>
      </c>
      <c r="L33" s="4">
        <v>36</v>
      </c>
      <c r="M33" s="4"/>
      <c r="N33" s="4">
        <f>7*15</f>
        <v>105</v>
      </c>
    </row>
    <row r="34" spans="1:14">
      <c r="A34" s="4"/>
      <c r="B34" s="4">
        <v>12</v>
      </c>
      <c r="C34" s="4">
        <f>3.5*7</f>
        <v>24.5</v>
      </c>
      <c r="D34" s="4">
        <v>30</v>
      </c>
      <c r="E34" s="4"/>
      <c r="F34" s="4"/>
      <c r="G34" s="4"/>
      <c r="H34" s="4">
        <v>120</v>
      </c>
      <c r="I34" s="4"/>
      <c r="J34" s="4"/>
      <c r="K34" s="4">
        <v>50</v>
      </c>
      <c r="L34" s="4"/>
      <c r="M34" s="4"/>
      <c r="N34" s="4">
        <v>65</v>
      </c>
    </row>
    <row r="35" spans="1:14">
      <c r="A35" s="4"/>
      <c r="B35" s="4">
        <f>6.5*4.5</f>
        <v>29.25</v>
      </c>
      <c r="C35" s="4">
        <v>24</v>
      </c>
      <c r="D35" s="4">
        <v>56</v>
      </c>
      <c r="E35" s="4"/>
      <c r="F35" s="4"/>
      <c r="G35" s="4"/>
      <c r="H35" s="4"/>
      <c r="I35" s="4"/>
      <c r="J35" s="4"/>
      <c r="K35" s="4">
        <v>70</v>
      </c>
      <c r="L35" s="4"/>
      <c r="M35" s="4"/>
      <c r="N35" s="4">
        <v>40</v>
      </c>
    </row>
    <row r="36" spans="1:14">
      <c r="A36" s="4"/>
      <c r="B36" s="4">
        <f>6*2.7</f>
        <v>16.200000000000003</v>
      </c>
      <c r="C36" s="4">
        <v>15</v>
      </c>
      <c r="D36" s="4">
        <v>32</v>
      </c>
      <c r="E36" s="4"/>
      <c r="F36" s="4"/>
      <c r="G36" s="4"/>
      <c r="H36" s="4"/>
      <c r="I36" s="4"/>
      <c r="J36" s="4"/>
      <c r="K36" s="4">
        <v>60</v>
      </c>
      <c r="L36" s="4"/>
      <c r="M36" s="4"/>
      <c r="N36" s="4">
        <v>80</v>
      </c>
    </row>
    <row r="37" spans="1:14">
      <c r="A37" s="4"/>
      <c r="B37" s="4">
        <v>15</v>
      </c>
      <c r="C37" s="4">
        <v>72</v>
      </c>
      <c r="D37" s="4">
        <v>56</v>
      </c>
      <c r="E37" s="4"/>
      <c r="F37" s="4"/>
      <c r="G37" s="4"/>
      <c r="H37" s="4"/>
      <c r="I37" s="4"/>
      <c r="J37" s="4"/>
      <c r="K37" s="4">
        <v>80</v>
      </c>
      <c r="L37" s="4"/>
      <c r="M37" s="4"/>
      <c r="N37" s="4">
        <v>84</v>
      </c>
    </row>
    <row r="38" spans="1:14">
      <c r="A38" s="4"/>
      <c r="B38" s="4">
        <f>4*3.5</f>
        <v>14</v>
      </c>
      <c r="C38" s="4">
        <v>18</v>
      </c>
      <c r="D38" s="4">
        <f>7*5.5</f>
        <v>38.5</v>
      </c>
      <c r="E38" s="4"/>
      <c r="F38" s="4"/>
      <c r="G38" s="4"/>
      <c r="H38" s="4"/>
      <c r="I38" s="4"/>
      <c r="J38" s="4"/>
      <c r="K38" s="4"/>
      <c r="L38" s="4"/>
      <c r="M38" s="4"/>
      <c r="N38" s="4">
        <v>70</v>
      </c>
    </row>
    <row r="39" spans="1:14">
      <c r="A39" s="4"/>
      <c r="B39" s="4">
        <v>20</v>
      </c>
      <c r="C39" s="4">
        <v>35</v>
      </c>
      <c r="D39" s="4">
        <v>48</v>
      </c>
      <c r="E39" s="4"/>
      <c r="F39" s="4"/>
      <c r="G39" s="4"/>
      <c r="H39" s="4"/>
      <c r="I39" s="4"/>
      <c r="J39" s="4"/>
      <c r="K39" s="4"/>
      <c r="L39" s="4"/>
      <c r="M39" s="4"/>
      <c r="N39" s="4">
        <v>90</v>
      </c>
    </row>
    <row r="40" spans="1:14">
      <c r="A40" s="4"/>
      <c r="B40" s="4">
        <f>14*2.8</f>
        <v>39.199999999999996</v>
      </c>
      <c r="C40" s="4">
        <v>40</v>
      </c>
      <c r="D40" s="4">
        <v>24</v>
      </c>
      <c r="E40" s="4"/>
      <c r="F40" s="4"/>
      <c r="G40" s="4"/>
      <c r="H40" s="4"/>
      <c r="I40" s="4"/>
      <c r="J40" s="4"/>
      <c r="K40" s="4"/>
      <c r="L40" s="4"/>
      <c r="M40" s="4"/>
      <c r="N40" s="4">
        <v>54</v>
      </c>
    </row>
    <row r="41" spans="1:14">
      <c r="A41" s="4"/>
      <c r="B41" s="4">
        <f>6*3.8+2.8*5.2</f>
        <v>37.36</v>
      </c>
      <c r="C41" s="4">
        <v>36</v>
      </c>
      <c r="D41" s="4">
        <v>35</v>
      </c>
      <c r="E41" s="4"/>
      <c r="F41" s="4"/>
      <c r="G41" s="4"/>
      <c r="H41" s="4"/>
      <c r="I41" s="4"/>
      <c r="J41" s="4"/>
      <c r="K41" s="4"/>
      <c r="L41" s="4"/>
      <c r="M41" s="4"/>
      <c r="N41" s="4">
        <f>3.2*6</f>
        <v>19.200000000000003</v>
      </c>
    </row>
    <row r="42" spans="1:14">
      <c r="A42" s="4"/>
      <c r="B42" s="4"/>
      <c r="C42" s="4">
        <v>21</v>
      </c>
      <c r="D42" s="4">
        <f>5*4.5</f>
        <v>22.5</v>
      </c>
      <c r="E42" s="4"/>
      <c r="F42" s="4"/>
      <c r="G42" s="4"/>
      <c r="H42" s="4"/>
      <c r="I42" s="4"/>
      <c r="J42" s="4"/>
      <c r="K42" s="4"/>
      <c r="L42" s="4"/>
      <c r="M42" s="4"/>
      <c r="N42" s="4">
        <f>6.5*9</f>
        <v>58.5</v>
      </c>
    </row>
    <row r="43" spans="1:14">
      <c r="A43" s="4"/>
      <c r="B43" s="4"/>
      <c r="C43" s="4">
        <v>27</v>
      </c>
      <c r="D43" s="4">
        <v>56</v>
      </c>
      <c r="E43" s="4"/>
      <c r="F43" s="4"/>
      <c r="G43" s="4"/>
      <c r="H43" s="4"/>
      <c r="I43" s="4"/>
      <c r="J43" s="4"/>
      <c r="K43" s="4"/>
      <c r="L43" s="4"/>
      <c r="M43" s="4"/>
      <c r="N43" s="4">
        <v>48</v>
      </c>
    </row>
    <row r="44" spans="1:14">
      <c r="A44" s="4"/>
      <c r="B44" s="4"/>
      <c r="C44" s="4">
        <v>27</v>
      </c>
      <c r="D44" s="4">
        <v>24</v>
      </c>
      <c r="E44" s="4"/>
      <c r="F44" s="4"/>
      <c r="G44" s="4"/>
      <c r="H44" s="4"/>
      <c r="I44" s="4"/>
      <c r="J44" s="4"/>
      <c r="K44" s="4"/>
      <c r="L44" s="4"/>
      <c r="M44" s="4"/>
      <c r="N44" s="4">
        <v>60</v>
      </c>
    </row>
    <row r="45" spans="1:14">
      <c r="A45" s="4"/>
      <c r="B45" s="4"/>
      <c r="C45" s="4">
        <v>15</v>
      </c>
      <c r="D45" s="4">
        <v>30</v>
      </c>
      <c r="E45" s="4"/>
      <c r="F45" s="4"/>
      <c r="G45" s="4"/>
      <c r="H45" s="4"/>
      <c r="I45" s="4"/>
      <c r="J45" s="4"/>
      <c r="K45" s="4"/>
      <c r="L45" s="4"/>
      <c r="M45" s="4"/>
      <c r="N45" s="4">
        <v>48</v>
      </c>
    </row>
    <row r="46" spans="1:14">
      <c r="A46" s="4"/>
      <c r="B46" s="4"/>
      <c r="C46" s="4">
        <v>24</v>
      </c>
      <c r="D46" s="4">
        <v>20</v>
      </c>
      <c r="E46" s="4"/>
      <c r="F46" s="4"/>
      <c r="G46" s="4"/>
      <c r="H46" s="4"/>
      <c r="I46" s="4"/>
      <c r="J46" s="4"/>
      <c r="K46" s="4"/>
      <c r="L46" s="4"/>
      <c r="M46" s="4"/>
      <c r="N46" s="4">
        <v>54</v>
      </c>
    </row>
    <row r="47" spans="1:14">
      <c r="A47" s="4"/>
      <c r="B47" s="4"/>
      <c r="C47" s="4">
        <v>19.2</v>
      </c>
      <c r="D47" s="4">
        <f>3.9*3.2</f>
        <v>12.48</v>
      </c>
      <c r="E47" s="4"/>
      <c r="F47" s="4"/>
      <c r="G47" s="4"/>
      <c r="H47" s="4"/>
      <c r="I47" s="4"/>
      <c r="J47" s="4"/>
      <c r="K47" s="4"/>
      <c r="L47" s="4"/>
      <c r="M47" s="4"/>
      <c r="N47" s="4">
        <f>12*6</f>
        <v>72</v>
      </c>
    </row>
    <row r="48" spans="1:14">
      <c r="A48" s="4"/>
      <c r="B48" s="4"/>
      <c r="C48" s="4">
        <f>3.2*6</f>
        <v>19.200000000000003</v>
      </c>
      <c r="D48" s="4">
        <v>30</v>
      </c>
      <c r="E48" s="4"/>
      <c r="F48" s="4"/>
      <c r="G48" s="4"/>
      <c r="H48" s="4"/>
      <c r="I48" s="4"/>
      <c r="J48" s="4"/>
      <c r="K48" s="4"/>
      <c r="L48" s="4"/>
      <c r="M48" s="4"/>
      <c r="N48" s="9">
        <v>24</v>
      </c>
    </row>
    <row r="49" spans="1:14">
      <c r="A49" s="4"/>
      <c r="B49" s="4"/>
      <c r="C49" s="4">
        <v>31</v>
      </c>
      <c r="D49" s="4">
        <v>35</v>
      </c>
      <c r="E49" s="4"/>
      <c r="F49" s="4"/>
      <c r="G49" s="4"/>
      <c r="H49" s="4"/>
      <c r="I49" s="4"/>
      <c r="J49" s="4"/>
      <c r="K49" s="4"/>
      <c r="L49" s="4"/>
      <c r="M49" s="4"/>
      <c r="N49" s="4">
        <v>30</v>
      </c>
    </row>
    <row r="50" spans="1:14">
      <c r="A50" s="4"/>
      <c r="B50" s="4"/>
      <c r="C50" s="4">
        <f>12*3.2</f>
        <v>38.400000000000006</v>
      </c>
      <c r="D50" s="4">
        <v>30</v>
      </c>
      <c r="E50" s="4"/>
      <c r="F50" s="4"/>
      <c r="G50" s="4"/>
      <c r="H50" s="4"/>
      <c r="I50" s="4"/>
      <c r="J50" s="4"/>
      <c r="K50" s="4"/>
      <c r="L50" s="4"/>
      <c r="M50" s="4"/>
      <c r="N50" s="4">
        <v>70</v>
      </c>
    </row>
    <row r="51" spans="1:14">
      <c r="A51" s="4"/>
      <c r="B51" s="4"/>
      <c r="C51" s="4">
        <v>18</v>
      </c>
      <c r="D51" s="4">
        <v>24</v>
      </c>
      <c r="E51" s="4"/>
      <c r="F51" s="4"/>
      <c r="G51" s="4"/>
      <c r="H51" s="4"/>
      <c r="I51" s="4"/>
      <c r="J51" s="4"/>
      <c r="K51" s="4"/>
      <c r="L51" s="4"/>
      <c r="M51" s="4"/>
      <c r="N51" s="4">
        <v>30</v>
      </c>
    </row>
    <row r="52" spans="1:14">
      <c r="A52" s="4"/>
      <c r="B52" s="4"/>
      <c r="C52" s="4">
        <v>20</v>
      </c>
      <c r="D52" s="4">
        <v>24</v>
      </c>
      <c r="E52" s="4"/>
      <c r="F52" s="4"/>
      <c r="G52" s="4"/>
      <c r="H52" s="4"/>
      <c r="I52" s="4"/>
      <c r="J52" s="4"/>
      <c r="K52" s="4"/>
      <c r="L52" s="4"/>
      <c r="M52" s="4"/>
      <c r="N52" s="4">
        <f>11*5</f>
        <v>55</v>
      </c>
    </row>
    <row r="53" spans="1:14">
      <c r="C53">
        <f>3.3*2</f>
        <v>6.6</v>
      </c>
      <c r="D53" s="8">
        <v>15</v>
      </c>
      <c r="N53">
        <f>7*12</f>
        <v>84</v>
      </c>
    </row>
    <row r="54" spans="1:14">
      <c r="C54">
        <v>24</v>
      </c>
      <c r="D54" s="8">
        <v>20</v>
      </c>
      <c r="H54" t="s">
        <v>25</v>
      </c>
      <c r="N54">
        <f>8*5</f>
        <v>40</v>
      </c>
    </row>
    <row r="55" spans="1:14">
      <c r="C55">
        <v>18</v>
      </c>
      <c r="D55" s="8">
        <v>24</v>
      </c>
      <c r="H55">
        <v>2282.6999999999998</v>
      </c>
      <c r="N55">
        <v>72</v>
      </c>
    </row>
    <row r="56" spans="1:14">
      <c r="C56">
        <v>15</v>
      </c>
      <c r="D56" s="8">
        <v>17.5</v>
      </c>
      <c r="H56">
        <v>402</v>
      </c>
      <c r="N56">
        <v>45</v>
      </c>
    </row>
    <row r="57" spans="1:14">
      <c r="C57">
        <v>6</v>
      </c>
      <c r="D57" s="8">
        <v>42</v>
      </c>
      <c r="N57">
        <v>40</v>
      </c>
    </row>
    <row r="58" spans="1:14">
      <c r="C58">
        <f>2.5*3.2</f>
        <v>8</v>
      </c>
      <c r="D58" s="8">
        <v>40</v>
      </c>
      <c r="N58">
        <v>50</v>
      </c>
    </row>
    <row r="59" spans="1:14">
      <c r="C59">
        <v>22.4</v>
      </c>
      <c r="D59" s="8">
        <v>24</v>
      </c>
      <c r="N59">
        <v>60</v>
      </c>
    </row>
    <row r="60" spans="1:14">
      <c r="C60">
        <v>21</v>
      </c>
      <c r="D60" s="8">
        <v>30</v>
      </c>
      <c r="N60">
        <v>40</v>
      </c>
    </row>
    <row r="61" spans="1:14">
      <c r="C61">
        <f>7*3.1</f>
        <v>21.7</v>
      </c>
      <c r="D61" s="8">
        <v>48</v>
      </c>
      <c r="N61">
        <v>48</v>
      </c>
    </row>
    <row r="62" spans="1:14">
      <c r="D62" s="8">
        <v>16</v>
      </c>
      <c r="N62">
        <v>54</v>
      </c>
    </row>
    <row r="63" spans="1:14">
      <c r="D63" s="8">
        <v>30</v>
      </c>
      <c r="N63">
        <v>54</v>
      </c>
    </row>
    <row r="64" spans="1:14">
      <c r="D64" s="8">
        <v>15</v>
      </c>
      <c r="N64">
        <v>35</v>
      </c>
    </row>
    <row r="65" spans="4:14">
      <c r="D65" s="8">
        <v>24</v>
      </c>
      <c r="N65">
        <v>60</v>
      </c>
    </row>
    <row r="66" spans="4:14">
      <c r="D66" s="8">
        <v>35</v>
      </c>
      <c r="N66">
        <v>54</v>
      </c>
    </row>
    <row r="67" spans="4:14">
      <c r="D67" s="8">
        <v>15</v>
      </c>
      <c r="N67">
        <v>60</v>
      </c>
    </row>
    <row r="68" spans="4:14">
      <c r="D68">
        <f>2.8*4.2</f>
        <v>11.76</v>
      </c>
      <c r="N68">
        <v>70</v>
      </c>
    </row>
    <row r="69" spans="4:14">
      <c r="D69">
        <v>59</v>
      </c>
      <c r="N69">
        <v>28</v>
      </c>
    </row>
    <row r="70" spans="4:14">
      <c r="D70">
        <v>24</v>
      </c>
      <c r="N70">
        <v>40</v>
      </c>
    </row>
    <row r="71" spans="4:14">
      <c r="D71">
        <v>56</v>
      </c>
      <c r="N71">
        <v>60</v>
      </c>
    </row>
    <row r="72" spans="4:14">
      <c r="D72">
        <v>35</v>
      </c>
      <c r="N72">
        <v>40</v>
      </c>
    </row>
    <row r="73" spans="4:14">
      <c r="D73">
        <v>24</v>
      </c>
      <c r="N73">
        <v>90</v>
      </c>
    </row>
    <row r="74" spans="4:14">
      <c r="D74">
        <v>35</v>
      </c>
      <c r="N74">
        <v>48</v>
      </c>
    </row>
    <row r="75" spans="4:14">
      <c r="D75">
        <v>24</v>
      </c>
      <c r="N75">
        <v>60</v>
      </c>
    </row>
    <row r="76" spans="4:14">
      <c r="D76">
        <v>15</v>
      </c>
      <c r="N76">
        <v>65</v>
      </c>
    </row>
    <row r="77" spans="4:14">
      <c r="D77">
        <v>39</v>
      </c>
      <c r="N77">
        <v>54</v>
      </c>
    </row>
    <row r="78" spans="4:14">
      <c r="D78">
        <v>67</v>
      </c>
      <c r="N78">
        <v>30</v>
      </c>
    </row>
    <row r="79" spans="4:14">
      <c r="D79">
        <v>28</v>
      </c>
      <c r="N79">
        <v>45</v>
      </c>
    </row>
    <row r="80" spans="4:14">
      <c r="D80">
        <v>35</v>
      </c>
      <c r="N80">
        <v>40</v>
      </c>
    </row>
    <row r="81" spans="4:14">
      <c r="D81">
        <v>24</v>
      </c>
      <c r="N81">
        <v>35</v>
      </c>
    </row>
    <row r="82" spans="4:14">
      <c r="D82">
        <f>6.5*7</f>
        <v>45.5</v>
      </c>
      <c r="N82">
        <v>35</v>
      </c>
    </row>
    <row r="83" spans="4:14">
      <c r="D83">
        <v>30</v>
      </c>
      <c r="N83">
        <v>30</v>
      </c>
    </row>
    <row r="84" spans="4:14">
      <c r="D84">
        <v>24</v>
      </c>
      <c r="N84">
        <v>45</v>
      </c>
    </row>
    <row r="85" spans="4:14">
      <c r="D85">
        <f>4.5*7</f>
        <v>31.5</v>
      </c>
      <c r="N85">
        <v>84</v>
      </c>
    </row>
    <row r="86" spans="4:14">
      <c r="D86">
        <v>30</v>
      </c>
      <c r="N86">
        <v>90</v>
      </c>
    </row>
    <row r="87" spans="4:14">
      <c r="D87">
        <v>20</v>
      </c>
      <c r="N87">
        <v>42</v>
      </c>
    </row>
    <row r="88" spans="4:14">
      <c r="D88">
        <v>15</v>
      </c>
    </row>
    <row r="89" spans="4:14">
      <c r="D89">
        <v>15</v>
      </c>
    </row>
    <row r="90" spans="4:14">
      <c r="D90">
        <v>20</v>
      </c>
    </row>
    <row r="91" spans="4:14">
      <c r="D91">
        <v>46</v>
      </c>
    </row>
    <row r="92" spans="4:14">
      <c r="D92">
        <v>24</v>
      </c>
    </row>
    <row r="93" spans="4:14">
      <c r="D93">
        <v>24</v>
      </c>
    </row>
    <row r="94" spans="4:14">
      <c r="D94">
        <v>30</v>
      </c>
    </row>
    <row r="95" spans="4:14">
      <c r="D95">
        <v>20</v>
      </c>
    </row>
    <row r="96" spans="4:14">
      <c r="D96">
        <f>3.2*5.3</f>
        <v>16.96</v>
      </c>
    </row>
    <row r="97" spans="4:4">
      <c r="D97">
        <v>28</v>
      </c>
    </row>
    <row r="98" spans="4:4">
      <c r="D98">
        <v>24</v>
      </c>
    </row>
    <row r="99" spans="4:4">
      <c r="D99">
        <v>30</v>
      </c>
    </row>
    <row r="100" spans="4:4">
      <c r="D100">
        <v>28</v>
      </c>
    </row>
    <row r="101" spans="4:4">
      <c r="D101">
        <f>30</f>
        <v>30</v>
      </c>
    </row>
    <row r="102" spans="4:4">
      <c r="D102">
        <v>30</v>
      </c>
    </row>
    <row r="103" spans="4:4">
      <c r="D103">
        <v>28</v>
      </c>
    </row>
    <row r="104" spans="4:4">
      <c r="D104">
        <v>15</v>
      </c>
    </row>
    <row r="105" spans="4:4">
      <c r="D105">
        <v>28</v>
      </c>
    </row>
  </sheetData>
  <phoneticPr fontId="0"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G11"/>
  <sheetViews>
    <sheetView topLeftCell="A4" workbookViewId="0">
      <selection activeCell="B13" sqref="B13"/>
    </sheetView>
  </sheetViews>
  <sheetFormatPr defaultRowHeight="18.75"/>
  <cols>
    <col min="1" max="1" width="6.5703125" style="55" customWidth="1"/>
    <col min="2" max="2" width="29.140625" style="55" customWidth="1"/>
    <col min="3" max="3" width="16.85546875" style="55" customWidth="1"/>
    <col min="4" max="4" width="28" style="55" customWidth="1"/>
    <col min="5" max="5" width="24.85546875" style="55" customWidth="1"/>
    <col min="6" max="6" width="14.140625" style="55" customWidth="1"/>
    <col min="7" max="7" width="14.42578125" style="55" customWidth="1"/>
    <col min="8" max="16384" width="9.140625" style="55"/>
  </cols>
  <sheetData>
    <row r="1" spans="1:7">
      <c r="A1" s="258" t="str">
        <f>+'3. PL3'!A1:B1</f>
        <v>ỦY BAN NHÂN DÂN</v>
      </c>
      <c r="B1" s="258"/>
      <c r="C1" s="258"/>
      <c r="D1" s="258" t="str">
        <f>+'3. PL3'!D1:F1</f>
        <v>CỘNG HÒA XÃ HỘI CHỦ NGHĨA VIỆT NAM</v>
      </c>
      <c r="E1" s="258"/>
      <c r="F1" s="258"/>
      <c r="G1" s="258"/>
    </row>
    <row r="2" spans="1:7">
      <c r="A2" s="258" t="str">
        <f>+'3. PL3'!A2:B2</f>
        <v>THỊ XÃ KỲ ANH</v>
      </c>
      <c r="B2" s="258"/>
      <c r="C2" s="258"/>
      <c r="D2" s="258" t="str">
        <f>+'3. PL3'!D2:F2</f>
        <v>Độc lập - Tự do - Hạnh phúc</v>
      </c>
      <c r="E2" s="258"/>
      <c r="F2" s="258"/>
      <c r="G2" s="258"/>
    </row>
    <row r="4" spans="1:7">
      <c r="A4" s="258" t="s">
        <v>108</v>
      </c>
      <c r="B4" s="258"/>
      <c r="C4" s="258"/>
      <c r="D4" s="258"/>
      <c r="E4" s="258"/>
      <c r="F4" s="258"/>
      <c r="G4" s="258"/>
    </row>
    <row r="5" spans="1:7">
      <c r="A5" s="258" t="s">
        <v>185</v>
      </c>
      <c r="B5" s="258"/>
      <c r="C5" s="258"/>
      <c r="D5" s="258"/>
      <c r="E5" s="258"/>
      <c r="F5" s="258"/>
      <c r="G5" s="258"/>
    </row>
    <row r="7" spans="1:7" ht="88.5" customHeight="1">
      <c r="A7" s="121" t="s">
        <v>97</v>
      </c>
      <c r="B7" s="121" t="s">
        <v>98</v>
      </c>
      <c r="C7" s="121" t="s">
        <v>111</v>
      </c>
      <c r="D7" s="121" t="s">
        <v>186</v>
      </c>
      <c r="E7" s="121" t="s">
        <v>184</v>
      </c>
      <c r="F7" s="121" t="s">
        <v>93</v>
      </c>
      <c r="G7" s="121" t="s">
        <v>7</v>
      </c>
    </row>
    <row r="8" spans="1:7">
      <c r="A8" s="115">
        <v>1</v>
      </c>
      <c r="B8" s="115" t="s">
        <v>109</v>
      </c>
      <c r="C8" s="115">
        <v>444</v>
      </c>
      <c r="D8" s="115">
        <v>27</v>
      </c>
      <c r="E8" s="115">
        <v>173</v>
      </c>
      <c r="F8" s="115">
        <f>+SUM(C8:E8)</f>
        <v>644</v>
      </c>
      <c r="G8" s="115"/>
    </row>
    <row r="9" spans="1:7">
      <c r="A9" s="115">
        <v>2</v>
      </c>
      <c r="B9" s="115" t="s">
        <v>110</v>
      </c>
      <c r="C9" s="115">
        <v>427</v>
      </c>
      <c r="D9" s="115">
        <v>23</v>
      </c>
      <c r="E9" s="115">
        <v>166</v>
      </c>
      <c r="F9" s="115">
        <f>+SUM(C9:E9)</f>
        <v>616</v>
      </c>
      <c r="G9" s="115"/>
    </row>
    <row r="10" spans="1:7">
      <c r="A10" s="115"/>
      <c r="B10" s="122" t="s">
        <v>50</v>
      </c>
      <c r="C10" s="122">
        <f>+C8+C9</f>
        <v>871</v>
      </c>
      <c r="D10" s="122">
        <f>+D8+D9</f>
        <v>50</v>
      </c>
      <c r="E10" s="122">
        <f>+E8+E9</f>
        <v>339</v>
      </c>
      <c r="F10" s="122">
        <f>+SUM(C10:E10)</f>
        <v>1260</v>
      </c>
      <c r="G10" s="115"/>
    </row>
    <row r="11" spans="1:7">
      <c r="F11" s="162"/>
    </row>
  </sheetData>
  <mergeCells count="6">
    <mergeCell ref="A4:G4"/>
    <mergeCell ref="A5:G5"/>
    <mergeCell ref="A1:C1"/>
    <mergeCell ref="A2:C2"/>
    <mergeCell ref="D1:G1"/>
    <mergeCell ref="D2:G2"/>
  </mergeCells>
  <printOptions horizontalCentered="1"/>
  <pageMargins left="0.5" right="0.5" top="1" bottom="0.25" header="0" footer="0"/>
  <pageSetup paperSize="9"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L47"/>
  <sheetViews>
    <sheetView topLeftCell="A10" zoomScale="85" zoomScaleNormal="85" workbookViewId="0">
      <selection activeCell="G22" sqref="G22"/>
    </sheetView>
  </sheetViews>
  <sheetFormatPr defaultRowHeight="18.75"/>
  <cols>
    <col min="1" max="1" width="5.7109375" style="124" customWidth="1"/>
    <col min="2" max="2" width="36.5703125" style="124" customWidth="1"/>
    <col min="3" max="3" width="13.140625" style="124" customWidth="1"/>
    <col min="4" max="4" width="21.7109375" style="124" customWidth="1"/>
    <col min="5" max="5" width="21.85546875" style="124" customWidth="1"/>
    <col min="6" max="6" width="15.85546875" style="124" customWidth="1"/>
    <col min="7" max="8" width="15.140625" style="124" customWidth="1"/>
    <col min="9" max="9" width="25" style="124" customWidth="1"/>
    <col min="10" max="10" width="16" style="124" customWidth="1"/>
    <col min="11" max="11" width="15.140625" style="124" customWidth="1"/>
    <col min="12" max="12" width="15.28515625" style="124" customWidth="1"/>
    <col min="13" max="16384" width="9.140625" style="124"/>
  </cols>
  <sheetData>
    <row r="1" spans="1:7">
      <c r="A1" s="123" t="s">
        <v>112</v>
      </c>
    </row>
    <row r="2" spans="1:7">
      <c r="A2" s="123" t="s">
        <v>113</v>
      </c>
    </row>
    <row r="3" spans="1:7">
      <c r="A3" s="124" t="s">
        <v>114</v>
      </c>
      <c r="C3" s="124">
        <v>0</v>
      </c>
      <c r="D3" s="124" t="s">
        <v>115</v>
      </c>
    </row>
    <row r="4" spans="1:7">
      <c r="A4" s="124" t="s">
        <v>116</v>
      </c>
      <c r="C4" s="124">
        <v>3</v>
      </c>
      <c r="D4" s="124" t="s">
        <v>115</v>
      </c>
    </row>
    <row r="5" spans="1:7">
      <c r="A5" s="124" t="s">
        <v>117</v>
      </c>
      <c r="C5" s="124">
        <v>108</v>
      </c>
      <c r="D5" s="124" t="s">
        <v>115</v>
      </c>
    </row>
    <row r="6" spans="1:7">
      <c r="A6" s="124" t="s">
        <v>118</v>
      </c>
      <c r="C6" s="124">
        <v>395</v>
      </c>
      <c r="D6" s="124" t="s">
        <v>115</v>
      </c>
    </row>
    <row r="7" spans="1:7">
      <c r="A7" s="124" t="s">
        <v>119</v>
      </c>
      <c r="C7" s="124">
        <v>365</v>
      </c>
      <c r="D7" s="124" t="s">
        <v>115</v>
      </c>
    </row>
    <row r="8" spans="1:7">
      <c r="A8" s="123" t="s">
        <v>50</v>
      </c>
      <c r="C8" s="123">
        <f>+SUM(C3:C7)</f>
        <v>871</v>
      </c>
      <c r="D8" s="123" t="s">
        <v>115</v>
      </c>
    </row>
    <row r="9" spans="1:7">
      <c r="A9" s="123" t="s">
        <v>120</v>
      </c>
      <c r="E9" s="125" t="s">
        <v>121</v>
      </c>
      <c r="G9" s="125" t="s">
        <v>29</v>
      </c>
    </row>
    <row r="10" spans="1:7">
      <c r="A10" s="124" t="s">
        <v>122</v>
      </c>
      <c r="E10" s="124">
        <v>200</v>
      </c>
      <c r="F10" s="124" t="s">
        <v>31</v>
      </c>
      <c r="G10" s="124">
        <f>+C4+C5</f>
        <v>111</v>
      </c>
    </row>
    <row r="11" spans="1:7">
      <c r="A11" s="124" t="s">
        <v>123</v>
      </c>
      <c r="E11" s="124">
        <v>300</v>
      </c>
      <c r="F11" s="124" t="s">
        <v>31</v>
      </c>
      <c r="G11" s="124">
        <f>+C6</f>
        <v>395</v>
      </c>
    </row>
    <row r="12" spans="1:7">
      <c r="A12" s="124" t="s">
        <v>124</v>
      </c>
      <c r="E12" s="124">
        <v>400</v>
      </c>
      <c r="F12" s="124" t="s">
        <v>31</v>
      </c>
      <c r="G12" s="124">
        <f>+C7</f>
        <v>365</v>
      </c>
    </row>
    <row r="13" spans="1:7">
      <c r="A13" s="124" t="s">
        <v>209</v>
      </c>
      <c r="E13" s="124">
        <v>180</v>
      </c>
      <c r="F13" s="124" t="s">
        <v>31</v>
      </c>
      <c r="G13" s="124">
        <f>50+339</f>
        <v>389</v>
      </c>
    </row>
    <row r="14" spans="1:7">
      <c r="A14" s="124" t="s">
        <v>214</v>
      </c>
      <c r="E14" s="124">
        <v>70</v>
      </c>
      <c r="F14" s="124" t="s">
        <v>31</v>
      </c>
      <c r="G14" s="124">
        <v>50</v>
      </c>
    </row>
    <row r="15" spans="1:7">
      <c r="G15" s="123">
        <f>+SUM(G10:G14)</f>
        <v>1310</v>
      </c>
    </row>
    <row r="16" spans="1:7">
      <c r="A16" s="262" t="s">
        <v>145</v>
      </c>
      <c r="B16" s="263"/>
      <c r="C16" s="263"/>
      <c r="D16" s="263"/>
      <c r="E16" s="263"/>
      <c r="F16" s="263"/>
      <c r="G16" s="264"/>
    </row>
    <row r="17" spans="1:12" ht="75">
      <c r="A17" s="126" t="s">
        <v>97</v>
      </c>
      <c r="B17" s="126" t="s">
        <v>101</v>
      </c>
      <c r="C17" s="126" t="s">
        <v>125</v>
      </c>
      <c r="D17" s="126" t="s">
        <v>126</v>
      </c>
      <c r="E17" s="126" t="s">
        <v>127</v>
      </c>
      <c r="F17" s="126" t="s">
        <v>128</v>
      </c>
      <c r="G17" s="126" t="s">
        <v>129</v>
      </c>
      <c r="H17" s="127"/>
      <c r="I17" s="259" t="s">
        <v>130</v>
      </c>
      <c r="J17" s="259"/>
      <c r="K17" s="259" t="s">
        <v>131</v>
      </c>
      <c r="L17" s="259"/>
    </row>
    <row r="18" spans="1:12" ht="64.5" customHeight="1">
      <c r="A18" s="128">
        <v>1</v>
      </c>
      <c r="B18" s="129" t="str">
        <f>+'7. PL7 XD'!B15</f>
        <v>Lô đất có diện tích 200m2 (gồm 111 lô cho các hộ dân có diện tích đất ở hiện trạng &lt;250m2)</v>
      </c>
      <c r="C18" s="130">
        <f>+'7. PL7 XD'!C15</f>
        <v>111</v>
      </c>
      <c r="D18" s="130">
        <f>+C18*200</f>
        <v>22200</v>
      </c>
      <c r="E18" s="130">
        <f>+D18/40*60</f>
        <v>33300</v>
      </c>
      <c r="F18" s="130">
        <f>+D18+E18</f>
        <v>55500</v>
      </c>
      <c r="G18" s="130">
        <f>+F18/C18</f>
        <v>500</v>
      </c>
      <c r="I18" s="130">
        <f>+[1]PL3!H1199+150</f>
        <v>261</v>
      </c>
      <c r="J18" s="130">
        <f>+I18*200</f>
        <v>52200</v>
      </c>
      <c r="K18" s="130">
        <f>+[1]PL3!H1190</f>
        <v>0</v>
      </c>
      <c r="L18" s="130">
        <f>+K18*200</f>
        <v>0</v>
      </c>
    </row>
    <row r="19" spans="1:12">
      <c r="A19" s="128">
        <v>2</v>
      </c>
      <c r="B19" s="129" t="str">
        <f>+'7. PL7 XD'!B16</f>
        <v>Lô đất có diện tích 300m2</v>
      </c>
      <c r="C19" s="130">
        <f>+'7. PL7 XD'!C16</f>
        <v>395</v>
      </c>
      <c r="D19" s="130">
        <f>+C19*300</f>
        <v>118500</v>
      </c>
      <c r="E19" s="130">
        <f>+D19/40*60</f>
        <v>177750</v>
      </c>
      <c r="F19" s="130">
        <f t="shared" ref="F19:F20" si="0">+D19+E19</f>
        <v>296250</v>
      </c>
      <c r="G19" s="130">
        <f t="shared" ref="G19:G20" si="1">+F19/C19</f>
        <v>750</v>
      </c>
      <c r="I19" s="130">
        <f>+[1]PL3!H1200</f>
        <v>395</v>
      </c>
      <c r="J19" s="130">
        <f>+I19*300</f>
        <v>118500</v>
      </c>
      <c r="K19" s="130">
        <f>+[1]PL3!H1191</f>
        <v>0</v>
      </c>
      <c r="L19" s="130">
        <f>+K19*300</f>
        <v>0</v>
      </c>
    </row>
    <row r="20" spans="1:12" ht="93.75">
      <c r="A20" s="128">
        <v>3</v>
      </c>
      <c r="B20" s="129" t="str">
        <f>+'7. PL7 XD'!B17</f>
        <v>Lô đất có diện tích 400m2 (không tính đến 20 hộ bị sạt lở nghiêm trọng đã được lập DA xây dựng hạ tầng di dời khẩn cấp)</v>
      </c>
      <c r="C20" s="130">
        <f>+'7. PL7 XD'!C17</f>
        <v>345</v>
      </c>
      <c r="D20" s="130">
        <f>+C20*400</f>
        <v>138000</v>
      </c>
      <c r="E20" s="130">
        <f>+D20/40*60</f>
        <v>207000</v>
      </c>
      <c r="F20" s="130">
        <f t="shared" si="0"/>
        <v>345000</v>
      </c>
      <c r="G20" s="130">
        <f t="shared" si="1"/>
        <v>1000</v>
      </c>
      <c r="I20" s="130">
        <f>+[1]PL3!H1201</f>
        <v>365</v>
      </c>
      <c r="J20" s="130">
        <f>+I20*400</f>
        <v>146000</v>
      </c>
      <c r="K20" s="130">
        <f>+[1]PL3!H1192</f>
        <v>0</v>
      </c>
      <c r="L20" s="130">
        <f>+K20*400</f>
        <v>0</v>
      </c>
    </row>
    <row r="21" spans="1:12" ht="56.25">
      <c r="A21" s="128">
        <v>4</v>
      </c>
      <c r="B21" s="129" t="str">
        <f>+'7. PL7 XD'!B18</f>
        <v>Lô đất có diện tích 180m2 (dành cho các hộ dân thế hệ thứ 2, 3)</v>
      </c>
      <c r="C21" s="130">
        <f>+'7. PL7 XD'!C18</f>
        <v>389</v>
      </c>
      <c r="D21" s="130">
        <f>+C21*180</f>
        <v>70020</v>
      </c>
      <c r="E21" s="130">
        <f>+D21/40*60</f>
        <v>105030</v>
      </c>
      <c r="F21" s="130">
        <f t="shared" ref="F21" si="2">+D21+E21</f>
        <v>175050</v>
      </c>
      <c r="G21" s="130">
        <f t="shared" ref="G21" si="3">+F21/C21</f>
        <v>450</v>
      </c>
      <c r="I21" s="130" t="e">
        <f>+[1]PL3!H1202</f>
        <v>#REF!</v>
      </c>
      <c r="J21" s="130" t="e">
        <f>+I21*400</f>
        <v>#REF!</v>
      </c>
      <c r="K21" s="130" t="e">
        <f>+[1]PL3!H1193</f>
        <v>#REF!</v>
      </c>
      <c r="L21" s="130" t="e">
        <f>+K21*400</f>
        <v>#REF!</v>
      </c>
    </row>
    <row r="22" spans="1:12">
      <c r="A22" s="128">
        <v>5</v>
      </c>
      <c r="B22" s="129" t="s">
        <v>215</v>
      </c>
      <c r="C22" s="130">
        <v>50</v>
      </c>
      <c r="D22" s="130">
        <f>+C22*70</f>
        <v>3500</v>
      </c>
      <c r="E22" s="130">
        <f>+D22/40*60</f>
        <v>5250</v>
      </c>
      <c r="F22" s="130">
        <f t="shared" ref="F22" si="4">+D22+E22</f>
        <v>8750</v>
      </c>
      <c r="G22" s="130">
        <f t="shared" ref="G22" si="5">+F22/C22</f>
        <v>175</v>
      </c>
      <c r="I22" s="130" t="e">
        <f>+[1]PL3!H1203</f>
        <v>#REF!</v>
      </c>
      <c r="J22" s="130" t="e">
        <f>+I22*400</f>
        <v>#REF!</v>
      </c>
      <c r="K22" s="130" t="e">
        <f>+[1]PL3!H1194</f>
        <v>#REF!</v>
      </c>
      <c r="L22" s="130" t="e">
        <f>+K22*400</f>
        <v>#REF!</v>
      </c>
    </row>
    <row r="23" spans="1:12">
      <c r="A23" s="131"/>
      <c r="B23" s="132" t="s">
        <v>93</v>
      </c>
      <c r="C23" s="133">
        <f>+SUM(C18:C22)</f>
        <v>1290</v>
      </c>
      <c r="D23" s="133">
        <f>+SUM(D18:D22)</f>
        <v>352220</v>
      </c>
      <c r="E23" s="131"/>
      <c r="F23" s="133">
        <f>+SUM(F18:F22)</f>
        <v>880550</v>
      </c>
      <c r="G23" s="131"/>
      <c r="I23" s="133">
        <f t="shared" ref="I23:L23" si="6">+SUM(I18:I20)</f>
        <v>1021</v>
      </c>
      <c r="J23" s="133">
        <f t="shared" si="6"/>
        <v>316700</v>
      </c>
      <c r="K23" s="133">
        <f t="shared" si="6"/>
        <v>0</v>
      </c>
      <c r="L23" s="133">
        <f t="shared" si="6"/>
        <v>0</v>
      </c>
    </row>
    <row r="24" spans="1:12">
      <c r="A24" s="131"/>
      <c r="B24" s="132" t="s">
        <v>133</v>
      </c>
      <c r="C24" s="131"/>
      <c r="D24" s="173" t="s">
        <v>187</v>
      </c>
      <c r="E24" s="131"/>
      <c r="F24" s="133">
        <f>+'PL10'!E19</f>
        <v>574691</v>
      </c>
      <c r="G24" s="135"/>
      <c r="I24" s="136">
        <f>+I23+K23</f>
        <v>1021</v>
      </c>
      <c r="L24" s="136">
        <f>+J23+L23</f>
        <v>316700</v>
      </c>
    </row>
    <row r="25" spans="1:12">
      <c r="A25" s="131"/>
      <c r="B25" s="132" t="s">
        <v>134</v>
      </c>
      <c r="C25" s="131"/>
      <c r="D25" s="134"/>
      <c r="E25" s="131"/>
      <c r="F25" s="133">
        <f>+F23-F24</f>
        <v>305859</v>
      </c>
      <c r="G25" s="135"/>
    </row>
    <row r="26" spans="1:12">
      <c r="C26" s="137"/>
      <c r="G26" s="137"/>
      <c r="I26" s="137">
        <f>+C23-225</f>
        <v>1065</v>
      </c>
    </row>
    <row r="27" spans="1:12">
      <c r="C27" s="137"/>
      <c r="G27" s="137"/>
    </row>
    <row r="28" spans="1:12">
      <c r="C28" s="137"/>
      <c r="G28" s="137"/>
    </row>
    <row r="29" spans="1:12">
      <c r="C29" s="137"/>
      <c r="G29" s="137"/>
    </row>
    <row r="30" spans="1:12" hidden="1">
      <c r="C30" s="137"/>
      <c r="F30" s="260" t="s">
        <v>94</v>
      </c>
      <c r="G30" s="260"/>
    </row>
    <row r="31" spans="1:12" ht="41.25" hidden="1" customHeight="1">
      <c r="A31" s="261" t="s">
        <v>135</v>
      </c>
      <c r="B31" s="261"/>
      <c r="C31" s="261"/>
      <c r="D31" s="261"/>
      <c r="E31" s="261"/>
      <c r="F31" s="138">
        <f>879700/1000000</f>
        <v>0.87970000000000004</v>
      </c>
      <c r="G31" s="126" t="s">
        <v>136</v>
      </c>
      <c r="I31" s="144">
        <f>+F23*F31*1000000</f>
        <v>774619835000.00012</v>
      </c>
    </row>
    <row r="32" spans="1:12" ht="39.75" hidden="1" customHeight="1">
      <c r="A32" s="261" t="s">
        <v>137</v>
      </c>
      <c r="B32" s="261"/>
      <c r="C32" s="261"/>
      <c r="D32" s="261"/>
      <c r="E32" s="261"/>
      <c r="F32" s="138">
        <f>159600/1000000</f>
        <v>0.15959999999999999</v>
      </c>
      <c r="G32" s="126" t="s">
        <v>136</v>
      </c>
    </row>
    <row r="33" spans="1:7" ht="39.75" hidden="1" customHeight="1">
      <c r="A33" s="261" t="s">
        <v>138</v>
      </c>
      <c r="B33" s="261"/>
      <c r="C33" s="261"/>
      <c r="D33" s="261"/>
      <c r="E33" s="261"/>
      <c r="F33" s="139">
        <f>+D39</f>
        <v>16666.666666666664</v>
      </c>
      <c r="G33" s="126" t="s">
        <v>139</v>
      </c>
    </row>
    <row r="34" spans="1:7" ht="39.75" hidden="1" customHeight="1">
      <c r="A34" s="261" t="s">
        <v>140</v>
      </c>
      <c r="B34" s="261"/>
      <c r="C34" s="261"/>
      <c r="D34" s="261"/>
      <c r="E34" s="261"/>
      <c r="F34" s="140">
        <f>+'[1]PL1;3 PHAN KY'!O36</f>
        <v>1423.2695879211942</v>
      </c>
      <c r="G34" s="126" t="s">
        <v>139</v>
      </c>
    </row>
    <row r="35" spans="1:7" ht="39.75" hidden="1" customHeight="1">
      <c r="A35" s="261" t="s">
        <v>141</v>
      </c>
      <c r="B35" s="261"/>
      <c r="C35" s="261"/>
      <c r="D35" s="261"/>
      <c r="E35" s="261"/>
      <c r="F35" s="141">
        <v>20</v>
      </c>
      <c r="G35" s="126" t="s">
        <v>139</v>
      </c>
    </row>
    <row r="36" spans="1:7" hidden="1"/>
    <row r="37" spans="1:7" hidden="1">
      <c r="B37" s="262" t="s">
        <v>142</v>
      </c>
      <c r="C37" s="263"/>
      <c r="D37" s="263"/>
      <c r="E37" s="264"/>
    </row>
    <row r="38" spans="1:7" hidden="1">
      <c r="B38" s="131">
        <v>4.2</v>
      </c>
      <c r="C38" s="131" t="s">
        <v>143</v>
      </c>
      <c r="D38" s="142">
        <v>28000</v>
      </c>
      <c r="E38" s="131" t="s">
        <v>96</v>
      </c>
    </row>
    <row r="39" spans="1:7" hidden="1">
      <c r="B39" s="131">
        <v>2.5</v>
      </c>
      <c r="C39" s="131" t="s">
        <v>143</v>
      </c>
      <c r="D39" s="135">
        <f>+B39*D38/B38</f>
        <v>16666.666666666664</v>
      </c>
      <c r="E39" s="131" t="s">
        <v>96</v>
      </c>
    </row>
    <row r="40" spans="1:7" hidden="1">
      <c r="B40" s="131">
        <v>3500</v>
      </c>
      <c r="C40" s="131" t="s">
        <v>144</v>
      </c>
      <c r="D40" s="131">
        <v>32000</v>
      </c>
      <c r="E40" s="131" t="s">
        <v>96</v>
      </c>
    </row>
    <row r="41" spans="1:7" hidden="1">
      <c r="B41" s="131">
        <v>1</v>
      </c>
      <c r="C41" s="131" t="s">
        <v>144</v>
      </c>
      <c r="D41" s="143">
        <f>+D40*B41/B40</f>
        <v>9.1428571428571423</v>
      </c>
      <c r="E41" s="131" t="s">
        <v>96</v>
      </c>
    </row>
    <row r="42" spans="1:7" hidden="1"/>
    <row r="43" spans="1:7" hidden="1"/>
    <row r="44" spans="1:7" hidden="1"/>
    <row r="45" spans="1:7" hidden="1"/>
    <row r="46" spans="1:7" hidden="1"/>
    <row r="47" spans="1:7" hidden="1"/>
  </sheetData>
  <mergeCells count="10">
    <mergeCell ref="A33:E33"/>
    <mergeCell ref="A34:E34"/>
    <mergeCell ref="A35:E35"/>
    <mergeCell ref="B37:E37"/>
    <mergeCell ref="A16:G16"/>
    <mergeCell ref="I17:J17"/>
    <mergeCell ref="K17:L17"/>
    <mergeCell ref="F30:G30"/>
    <mergeCell ref="A31:E31"/>
    <mergeCell ref="A32:E32"/>
  </mergeCells>
  <printOptions horizontalCentered="1"/>
  <pageMargins left="0.5" right="0.5" top="1" bottom="0.25" header="0" footer="0"/>
  <pageSetup paperSize="9" orientation="landscape" horizontalDpi="0" verticalDpi="0"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I20"/>
  <sheetViews>
    <sheetView view="pageBreakPreview" topLeftCell="A10" zoomScaleNormal="100" zoomScaleSheetLayoutView="100" workbookViewId="0">
      <selection activeCell="B20" sqref="B20"/>
    </sheetView>
  </sheetViews>
  <sheetFormatPr defaultRowHeight="18.75"/>
  <cols>
    <col min="1" max="1" width="5.7109375" style="175" customWidth="1"/>
    <col min="2" max="2" width="62" style="175" customWidth="1"/>
    <col min="3" max="3" width="25.5703125" style="175" customWidth="1"/>
    <col min="4" max="4" width="26.85546875" style="175" customWidth="1"/>
    <col min="5" max="5" width="18.42578125" style="175" customWidth="1"/>
    <col min="6" max="6" width="13.7109375" style="175" customWidth="1"/>
    <col min="7" max="16384" width="9.140625" style="175"/>
  </cols>
  <sheetData>
    <row r="1" spans="1:9">
      <c r="A1" s="266" t="s">
        <v>47</v>
      </c>
      <c r="B1" s="266"/>
      <c r="C1" s="174"/>
      <c r="D1" s="266" t="s">
        <v>0</v>
      </c>
      <c r="E1" s="266"/>
      <c r="F1" s="266"/>
      <c r="G1" s="174"/>
      <c r="H1" s="174"/>
      <c r="I1" s="174"/>
    </row>
    <row r="2" spans="1:9">
      <c r="A2" s="266" t="s">
        <v>48</v>
      </c>
      <c r="B2" s="266"/>
      <c r="C2" s="174"/>
      <c r="D2" s="267" t="s">
        <v>1</v>
      </c>
      <c r="E2" s="267"/>
      <c r="F2" s="267"/>
      <c r="G2" s="176"/>
      <c r="H2" s="176"/>
      <c r="I2" s="176"/>
    </row>
    <row r="3" spans="1:9">
      <c r="A3" s="177"/>
      <c r="B3" s="177"/>
      <c r="C3" s="177"/>
      <c r="D3" s="177"/>
      <c r="E3" s="177"/>
      <c r="F3" s="178"/>
      <c r="G3" s="178"/>
      <c r="H3" s="178"/>
      <c r="I3" s="178"/>
    </row>
    <row r="4" spans="1:9">
      <c r="A4" s="265" t="s">
        <v>106</v>
      </c>
      <c r="B4" s="265"/>
      <c r="C4" s="265"/>
      <c r="D4" s="265"/>
      <c r="E4" s="265"/>
      <c r="F4" s="265"/>
      <c r="G4" s="174"/>
      <c r="H4" s="174"/>
      <c r="I4" s="174"/>
    </row>
    <row r="5" spans="1:9">
      <c r="A5" s="265" t="s">
        <v>56</v>
      </c>
      <c r="B5" s="265"/>
      <c r="C5" s="265"/>
      <c r="D5" s="265"/>
      <c r="E5" s="265"/>
      <c r="F5" s="265"/>
      <c r="G5" s="174"/>
      <c r="H5" s="174"/>
      <c r="I5" s="174"/>
    </row>
    <row r="6" spans="1:9">
      <c r="A6" s="179"/>
      <c r="B6" s="179"/>
      <c r="C6" s="179"/>
      <c r="D6" s="179"/>
      <c r="E6" s="179"/>
      <c r="F6" s="179"/>
      <c r="G6" s="174"/>
      <c r="H6" s="174"/>
      <c r="I6" s="174"/>
    </row>
    <row r="7" spans="1:9">
      <c r="A7" s="180" t="s">
        <v>97</v>
      </c>
      <c r="B7" s="180" t="s">
        <v>101</v>
      </c>
      <c r="C7" s="180"/>
      <c r="D7" s="180" t="s">
        <v>99</v>
      </c>
      <c r="E7" s="180" t="s">
        <v>107</v>
      </c>
      <c r="F7" s="180" t="s">
        <v>7</v>
      </c>
      <c r="G7" s="174"/>
      <c r="H7" s="174"/>
      <c r="I7" s="174"/>
    </row>
    <row r="8" spans="1:9">
      <c r="A8" s="181">
        <v>1</v>
      </c>
      <c r="B8" s="182" t="s">
        <v>150</v>
      </c>
      <c r="C8" s="181">
        <f>+SUBTOTAL(9,C9:C11)</f>
        <v>1627923180000</v>
      </c>
      <c r="D8" s="181">
        <f>+SUBTOTAL(9,D9:D11)</f>
        <v>1627923.18</v>
      </c>
      <c r="E8" s="181" t="s">
        <v>96</v>
      </c>
      <c r="F8" s="183"/>
    </row>
    <row r="9" spans="1:9">
      <c r="A9" s="184" t="s">
        <v>151</v>
      </c>
      <c r="B9" s="185" t="s">
        <v>152</v>
      </c>
      <c r="C9" s="184">
        <f>+'4. PL4 Hai phong'!H32</f>
        <v>1501876617000</v>
      </c>
      <c r="D9" s="184">
        <f>+C9/1000000</f>
        <v>1501876.6170000001</v>
      </c>
      <c r="E9" s="184" t="s">
        <v>96</v>
      </c>
      <c r="F9" s="186" t="s">
        <v>146</v>
      </c>
    </row>
    <row r="10" spans="1:9">
      <c r="A10" s="184" t="s">
        <v>151</v>
      </c>
      <c r="B10" s="185" t="s">
        <v>153</v>
      </c>
      <c r="C10" s="184">
        <f>+'5. PL5 tdc Ky Loi va Ky Thinh'!H23</f>
        <v>122865781000</v>
      </c>
      <c r="D10" s="184">
        <f t="shared" ref="D10:D11" si="0">+C10/1000000</f>
        <v>122865.781</v>
      </c>
      <c r="E10" s="184" t="s">
        <v>96</v>
      </c>
      <c r="F10" s="186" t="s">
        <v>147</v>
      </c>
    </row>
    <row r="11" spans="1:9">
      <c r="A11" s="184" t="s">
        <v>151</v>
      </c>
      <c r="B11" s="185" t="s">
        <v>154</v>
      </c>
      <c r="C11" s="184">
        <f>+'6. PL6Mo rong nghia trang'!H21</f>
        <v>3180782000</v>
      </c>
      <c r="D11" s="184">
        <f t="shared" si="0"/>
        <v>3180.7820000000002</v>
      </c>
      <c r="E11" s="184" t="s">
        <v>96</v>
      </c>
      <c r="F11" s="186" t="s">
        <v>155</v>
      </c>
    </row>
    <row r="12" spans="1:9">
      <c r="A12" s="181">
        <v>2</v>
      </c>
      <c r="B12" s="182" t="s">
        <v>102</v>
      </c>
      <c r="C12" s="181">
        <f>+'7. PL7 XD'!F20</f>
        <v>621668300000</v>
      </c>
      <c r="D12" s="181">
        <f>+C12/1000000</f>
        <v>621668.30000000005</v>
      </c>
      <c r="E12" s="181" t="s">
        <v>96</v>
      </c>
      <c r="F12" s="186" t="s">
        <v>171</v>
      </c>
    </row>
    <row r="13" spans="1:9">
      <c r="A13" s="181">
        <v>3</v>
      </c>
      <c r="B13" s="182" t="s">
        <v>103</v>
      </c>
      <c r="C13" s="181">
        <v>16667000000</v>
      </c>
      <c r="D13" s="181">
        <f t="shared" ref="D13:D16" si="1">+C13/1000000</f>
        <v>16667</v>
      </c>
      <c r="E13" s="181" t="s">
        <v>96</v>
      </c>
      <c r="F13" s="187"/>
    </row>
    <row r="14" spans="1:9">
      <c r="A14" s="181">
        <v>4</v>
      </c>
      <c r="B14" s="182" t="s">
        <v>104</v>
      </c>
      <c r="C14" s="181">
        <v>4000000000</v>
      </c>
      <c r="D14" s="181">
        <f t="shared" si="1"/>
        <v>4000</v>
      </c>
      <c r="E14" s="181" t="s">
        <v>96</v>
      </c>
      <c r="F14" s="187"/>
    </row>
    <row r="15" spans="1:9" ht="27" customHeight="1">
      <c r="A15" s="188" t="s">
        <v>57</v>
      </c>
      <c r="B15" s="189" t="s">
        <v>53</v>
      </c>
      <c r="C15" s="188">
        <f>+SUBTOTAL(9,C8:C14)</f>
        <v>2270258480000</v>
      </c>
      <c r="D15" s="188">
        <f>+SUBTOTAL(9,D8:D14)</f>
        <v>2270258.48</v>
      </c>
      <c r="E15" s="188" t="s">
        <v>96</v>
      </c>
      <c r="F15" s="187"/>
    </row>
    <row r="16" spans="1:9" ht="41.25">
      <c r="A16" s="188"/>
      <c r="B16" s="182" t="s">
        <v>105</v>
      </c>
      <c r="C16" s="181">
        <f>+'8. PL8 KT'!F14</f>
        <v>232465200000</v>
      </c>
      <c r="D16" s="181">
        <f t="shared" si="1"/>
        <v>232465.2</v>
      </c>
      <c r="E16" s="181" t="s">
        <v>96</v>
      </c>
      <c r="F16" s="186" t="s">
        <v>176</v>
      </c>
    </row>
    <row r="17" spans="1:6">
      <c r="A17" s="190" t="s">
        <v>65</v>
      </c>
      <c r="B17" s="189" t="s">
        <v>93</v>
      </c>
      <c r="C17" s="188">
        <f>+C15-C16</f>
        <v>2037793280000</v>
      </c>
      <c r="D17" s="188">
        <f>+D15-D16</f>
        <v>2037793.28</v>
      </c>
      <c r="E17" s="188" t="s">
        <v>96</v>
      </c>
      <c r="F17" s="187"/>
    </row>
    <row r="18" spans="1:6">
      <c r="A18" s="190"/>
      <c r="B18" s="189" t="s">
        <v>182</v>
      </c>
      <c r="C18" s="188">
        <f>+C17*5%</f>
        <v>101889664000</v>
      </c>
      <c r="D18" s="188">
        <f>+D17*5%</f>
        <v>101889.664</v>
      </c>
      <c r="E18" s="188" t="s">
        <v>96</v>
      </c>
      <c r="F18" s="187"/>
    </row>
    <row r="19" spans="1:6">
      <c r="A19" s="190" t="s">
        <v>183</v>
      </c>
      <c r="B19" s="189" t="s">
        <v>180</v>
      </c>
      <c r="C19" s="188">
        <f>ROUND(+C17+C18,-6)</f>
        <v>2139683000000</v>
      </c>
      <c r="D19" s="188">
        <f>+D17+D18</f>
        <v>2139682.9440000001</v>
      </c>
      <c r="E19" s="188" t="s">
        <v>96</v>
      </c>
      <c r="F19" s="187"/>
    </row>
    <row r="20" spans="1:6">
      <c r="B20" s="191" t="s">
        <v>217</v>
      </c>
    </row>
  </sheetData>
  <mergeCells count="6">
    <mergeCell ref="A4:F4"/>
    <mergeCell ref="A5:F5"/>
    <mergeCell ref="A1:B1"/>
    <mergeCell ref="A2:B2"/>
    <mergeCell ref="D1:F1"/>
    <mergeCell ref="D2:F2"/>
  </mergeCells>
  <printOptions horizontalCentered="1"/>
  <pageMargins left="0.5" right="0.5" top="1" bottom="0.25" header="0" footer="0"/>
  <pageSetup paperSize="9" scale="89"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A1:M72"/>
  <sheetViews>
    <sheetView view="pageBreakPreview" zoomScale="85" zoomScaleNormal="100" zoomScaleSheetLayoutView="85" workbookViewId="0">
      <selection activeCell="H10" sqref="H10"/>
    </sheetView>
  </sheetViews>
  <sheetFormatPr defaultColWidth="9.140625" defaultRowHeight="18.75"/>
  <cols>
    <col min="1" max="1" width="5.28515625" style="55" customWidth="1"/>
    <col min="2" max="2" width="22.140625" style="112" customWidth="1"/>
    <col min="3" max="3" width="23.85546875" style="113" customWidth="1"/>
    <col min="4" max="4" width="5.5703125" style="52" customWidth="1"/>
    <col min="5" max="5" width="15.28515625" style="52" customWidth="1"/>
    <col min="6" max="6" width="12" style="113" customWidth="1"/>
    <col min="7" max="7" width="14.85546875" style="95" customWidth="1"/>
    <col min="8" max="8" width="21.85546875" style="95" customWidth="1"/>
    <col min="9" max="9" width="18.28515625" style="55" customWidth="1"/>
    <col min="10" max="10" width="52.42578125" style="53" hidden="1" customWidth="1"/>
    <col min="11" max="11" width="24.5703125" style="54" customWidth="1"/>
    <col min="12" max="13" width="9.140625" style="54"/>
    <col min="14" max="16384" width="9.140625" style="55"/>
  </cols>
  <sheetData>
    <row r="1" spans="1:11">
      <c r="A1" s="268" t="s">
        <v>47</v>
      </c>
      <c r="B1" s="268"/>
      <c r="C1" s="268"/>
      <c r="F1" s="268" t="s">
        <v>0</v>
      </c>
      <c r="G1" s="268"/>
      <c r="H1" s="268"/>
      <c r="I1" s="268"/>
    </row>
    <row r="2" spans="1:11" ht="19.5" customHeight="1">
      <c r="A2" s="268" t="s">
        <v>48</v>
      </c>
      <c r="B2" s="268"/>
      <c r="C2" s="268"/>
      <c r="D2" s="56"/>
      <c r="E2" s="56"/>
      <c r="F2" s="258" t="s">
        <v>1</v>
      </c>
      <c r="G2" s="258"/>
      <c r="H2" s="258"/>
      <c r="I2" s="258"/>
    </row>
    <row r="3" spans="1:11" ht="19.5" customHeight="1">
      <c r="A3" s="56"/>
      <c r="B3" s="56"/>
      <c r="C3" s="56"/>
      <c r="D3" s="56"/>
      <c r="E3" s="56"/>
      <c r="F3" s="57"/>
      <c r="G3" s="57"/>
      <c r="H3" s="57"/>
      <c r="I3" s="57"/>
    </row>
    <row r="4" spans="1:11" ht="28.5" customHeight="1">
      <c r="A4" s="268" t="s">
        <v>148</v>
      </c>
      <c r="B4" s="268"/>
      <c r="C4" s="268"/>
      <c r="D4" s="268"/>
      <c r="E4" s="268"/>
      <c r="F4" s="268"/>
      <c r="G4" s="268"/>
      <c r="H4" s="268"/>
      <c r="I4" s="268"/>
    </row>
    <row r="5" spans="1:11" ht="21.75" customHeight="1">
      <c r="A5" s="268" t="s">
        <v>56</v>
      </c>
      <c r="B5" s="268"/>
      <c r="C5" s="268"/>
      <c r="D5" s="268"/>
      <c r="E5" s="268"/>
      <c r="F5" s="268"/>
      <c r="G5" s="268"/>
      <c r="H5" s="268"/>
      <c r="I5" s="268"/>
    </row>
    <row r="6" spans="1:11" ht="9.75" customHeight="1">
      <c r="A6" s="270"/>
      <c r="B6" s="270"/>
      <c r="C6" s="270"/>
      <c r="D6" s="270"/>
      <c r="E6" s="270"/>
      <c r="F6" s="270"/>
      <c r="G6" s="270"/>
      <c r="H6" s="270"/>
      <c r="I6" s="270"/>
      <c r="K6" s="58"/>
    </row>
    <row r="7" spans="1:11" ht="56.25" customHeight="1">
      <c r="A7" s="59" t="s">
        <v>2</v>
      </c>
      <c r="B7" s="271" t="s">
        <v>8</v>
      </c>
      <c r="C7" s="272"/>
      <c r="D7" s="60" t="s">
        <v>30</v>
      </c>
      <c r="E7" s="60" t="s">
        <v>36</v>
      </c>
      <c r="F7" s="61" t="s">
        <v>29</v>
      </c>
      <c r="G7" s="62" t="s">
        <v>5</v>
      </c>
      <c r="H7" s="62" t="s">
        <v>6</v>
      </c>
      <c r="I7" s="63" t="s">
        <v>7</v>
      </c>
    </row>
    <row r="8" spans="1:11" ht="32.25" customHeight="1">
      <c r="A8" s="64" t="s">
        <v>57</v>
      </c>
      <c r="B8" s="273" t="s">
        <v>58</v>
      </c>
      <c r="C8" s="273"/>
      <c r="D8" s="65"/>
      <c r="E8" s="66">
        <f>SUM(E9:E11)</f>
        <v>1058981.2</v>
      </c>
      <c r="F8" s="65"/>
      <c r="G8" s="67"/>
      <c r="H8" s="68">
        <f>SUM(H9:H15)</f>
        <v>180847386928</v>
      </c>
      <c r="I8" s="65"/>
      <c r="J8" s="53" t="e">
        <f ca="1">[2]!VND(H8)</f>
        <v>#NAME?</v>
      </c>
      <c r="K8" s="69">
        <v>1058981.2</v>
      </c>
    </row>
    <row r="9" spans="1:11" ht="30" customHeight="1">
      <c r="A9" s="274">
        <v>1</v>
      </c>
      <c r="B9" s="276" t="s">
        <v>3</v>
      </c>
      <c r="C9" s="70" t="s">
        <v>59</v>
      </c>
      <c r="D9" s="71" t="s">
        <v>31</v>
      </c>
      <c r="E9" s="72">
        <v>759231.5</v>
      </c>
      <c r="F9" s="72">
        <v>626300</v>
      </c>
      <c r="G9" s="39">
        <v>50600</v>
      </c>
      <c r="H9" s="73">
        <f>+F9*G9</f>
        <v>31690780000</v>
      </c>
      <c r="I9" s="71"/>
      <c r="J9" s="53" t="e">
        <f ca="1">[2]!VND(H9)</f>
        <v>#NAME?</v>
      </c>
    </row>
    <row r="10" spans="1:11" ht="30" customHeight="1">
      <c r="A10" s="275"/>
      <c r="B10" s="277"/>
      <c r="C10" s="70" t="s">
        <v>4</v>
      </c>
      <c r="D10" s="71" t="s">
        <v>31</v>
      </c>
      <c r="E10" s="72">
        <v>199749.7</v>
      </c>
      <c r="F10" s="72">
        <v>79300</v>
      </c>
      <c r="G10" s="39">
        <v>50600</v>
      </c>
      <c r="H10" s="73">
        <f>+F10*G10</f>
        <v>4012580000</v>
      </c>
      <c r="I10" s="71"/>
      <c r="J10" s="53" t="e">
        <f ca="1">[2]!VND(H10)</f>
        <v>#NAME?</v>
      </c>
      <c r="K10" s="74">
        <f>K8-E9-E11</f>
        <v>199749.69999999995</v>
      </c>
    </row>
    <row r="11" spans="1:11" ht="30" customHeight="1">
      <c r="A11" s="275"/>
      <c r="B11" s="278"/>
      <c r="C11" s="70" t="s">
        <v>60</v>
      </c>
      <c r="D11" s="71" t="s">
        <v>31</v>
      </c>
      <c r="E11" s="72">
        <v>100000</v>
      </c>
      <c r="F11" s="72">
        <v>100000</v>
      </c>
      <c r="G11" s="75">
        <v>6900</v>
      </c>
      <c r="H11" s="73">
        <f>+F11*G11</f>
        <v>690000000</v>
      </c>
      <c r="I11" s="71"/>
      <c r="J11" s="53" t="e">
        <f ca="1">[2]!VND(H11)</f>
        <v>#NAME?</v>
      </c>
    </row>
    <row r="12" spans="1:11" ht="35.25" customHeight="1">
      <c r="A12" s="279">
        <v>2</v>
      </c>
      <c r="B12" s="276" t="s">
        <v>27</v>
      </c>
      <c r="C12" s="70" t="s">
        <v>61</v>
      </c>
      <c r="D12" s="71" t="s">
        <v>31</v>
      </c>
      <c r="E12" s="71"/>
      <c r="F12" s="72">
        <f>E9+E10</f>
        <v>958981.2</v>
      </c>
      <c r="G12" s="39">
        <v>121440</v>
      </c>
      <c r="H12" s="73">
        <f>+F12*G12</f>
        <v>116458676928</v>
      </c>
      <c r="I12" s="76"/>
      <c r="J12" s="53" t="e">
        <f ca="1">[2]!VND(H12)</f>
        <v>#NAME?</v>
      </c>
    </row>
    <row r="13" spans="1:11" ht="30" customHeight="1">
      <c r="A13" s="279"/>
      <c r="B13" s="277"/>
      <c r="C13" s="70" t="s">
        <v>62</v>
      </c>
      <c r="D13" s="71" t="s">
        <v>32</v>
      </c>
      <c r="E13" s="71"/>
      <c r="F13" s="72">
        <v>2896</v>
      </c>
      <c r="G13" s="39">
        <f>12*30*12000</f>
        <v>4320000</v>
      </c>
      <c r="H13" s="73">
        <f>F13*G13</f>
        <v>12510720000</v>
      </c>
      <c r="I13" s="76"/>
      <c r="J13" s="53" t="e">
        <f ca="1">[2]!VND(H13)</f>
        <v>#NAME?</v>
      </c>
    </row>
    <row r="14" spans="1:11" ht="47.25">
      <c r="A14" s="279"/>
      <c r="B14" s="278"/>
      <c r="C14" s="70" t="s">
        <v>63</v>
      </c>
      <c r="D14" s="71" t="s">
        <v>32</v>
      </c>
      <c r="E14" s="71"/>
      <c r="F14" s="72">
        <v>100</v>
      </c>
      <c r="G14" s="39">
        <v>3000000</v>
      </c>
      <c r="H14" s="73">
        <f>+F14*G14</f>
        <v>300000000</v>
      </c>
      <c r="I14" s="76"/>
      <c r="J14" s="53" t="e">
        <f ca="1">[2]!VND(H14)</f>
        <v>#NAME?</v>
      </c>
    </row>
    <row r="15" spans="1:11" ht="36" customHeight="1">
      <c r="A15" s="77">
        <v>3</v>
      </c>
      <c r="B15" s="78" t="s">
        <v>26</v>
      </c>
      <c r="C15" s="70" t="s">
        <v>64</v>
      </c>
      <c r="D15" s="71" t="s">
        <v>31</v>
      </c>
      <c r="E15" s="71"/>
      <c r="F15" s="72">
        <f>E9</f>
        <v>759231.5</v>
      </c>
      <c r="G15" s="39">
        <v>10000</v>
      </c>
      <c r="H15" s="73">
        <f>+F15*G15*2</f>
        <v>15184630000</v>
      </c>
      <c r="I15" s="79"/>
      <c r="J15" s="53" t="e">
        <f ca="1">[2]!VND(H15)</f>
        <v>#NAME?</v>
      </c>
    </row>
    <row r="16" spans="1:11" ht="37.5" customHeight="1">
      <c r="A16" s="64" t="s">
        <v>65</v>
      </c>
      <c r="B16" s="280" t="s">
        <v>66</v>
      </c>
      <c r="C16" s="281"/>
      <c r="D16" s="65"/>
      <c r="E16" s="66">
        <f>SUM(E17)</f>
        <v>162406</v>
      </c>
      <c r="F16" s="65"/>
      <c r="G16" s="67"/>
      <c r="H16" s="68">
        <f>SUM(H17:H24)</f>
        <v>1286395120000</v>
      </c>
      <c r="I16" s="65"/>
      <c r="K16" s="58"/>
    </row>
    <row r="17" spans="1:10" ht="30" customHeight="1">
      <c r="A17" s="71">
        <v>1</v>
      </c>
      <c r="B17" s="80" t="s">
        <v>3</v>
      </c>
      <c r="C17" s="70" t="s">
        <v>67</v>
      </c>
      <c r="D17" s="71" t="s">
        <v>31</v>
      </c>
      <c r="E17" s="72">
        <v>162406</v>
      </c>
      <c r="F17" s="72">
        <v>162406</v>
      </c>
      <c r="G17" s="39">
        <v>600000</v>
      </c>
      <c r="H17" s="73">
        <f t="shared" ref="H17:H23" si="0">+F17*G17</f>
        <v>97443600000</v>
      </c>
      <c r="I17" s="81"/>
      <c r="J17" s="53" t="e">
        <f ca="1">[2]!VND(H17)</f>
        <v>#NAME?</v>
      </c>
    </row>
    <row r="18" spans="1:10" ht="30" customHeight="1">
      <c r="A18" s="71">
        <v>2</v>
      </c>
      <c r="B18" s="80" t="s">
        <v>28</v>
      </c>
      <c r="C18" s="70" t="s">
        <v>68</v>
      </c>
      <c r="D18" s="71" t="s">
        <v>33</v>
      </c>
      <c r="E18" s="71"/>
      <c r="F18" s="72">
        <v>871</v>
      </c>
      <c r="G18" s="75">
        <v>1200000000</v>
      </c>
      <c r="H18" s="73">
        <f t="shared" si="0"/>
        <v>1045200000000</v>
      </c>
      <c r="I18" s="71"/>
      <c r="J18" s="53" t="e">
        <f ca="1">[2]!VND(H18)</f>
        <v>#NAME?</v>
      </c>
    </row>
    <row r="19" spans="1:10" ht="35.25" customHeight="1">
      <c r="A19" s="274">
        <v>3</v>
      </c>
      <c r="B19" s="276" t="s">
        <v>27</v>
      </c>
      <c r="C19" s="70" t="s">
        <v>69</v>
      </c>
      <c r="D19" s="71" t="s">
        <v>33</v>
      </c>
      <c r="E19" s="71"/>
      <c r="F19" s="72">
        <v>871</v>
      </c>
      <c r="G19" s="39">
        <v>20000000</v>
      </c>
      <c r="H19" s="73">
        <f t="shared" si="0"/>
        <v>17420000000</v>
      </c>
      <c r="I19" s="76"/>
      <c r="J19" s="53" t="e">
        <f ca="1">[2]!VND(H19)</f>
        <v>#NAME?</v>
      </c>
    </row>
    <row r="20" spans="1:10" ht="35.25" customHeight="1">
      <c r="A20" s="275"/>
      <c r="B20" s="277"/>
      <c r="C20" s="70" t="s">
        <v>70</v>
      </c>
      <c r="D20" s="71" t="s">
        <v>33</v>
      </c>
      <c r="E20" s="71"/>
      <c r="F20" s="72">
        <v>871</v>
      </c>
      <c r="G20" s="39">
        <v>4800000</v>
      </c>
      <c r="H20" s="73">
        <f t="shared" si="0"/>
        <v>4180800000</v>
      </c>
      <c r="I20" s="76"/>
      <c r="J20" s="53" t="e">
        <f ca="1">[2]!VND(H20)</f>
        <v>#NAME?</v>
      </c>
    </row>
    <row r="21" spans="1:10" ht="34.5" customHeight="1">
      <c r="A21" s="275"/>
      <c r="B21" s="277"/>
      <c r="C21" s="70" t="s">
        <v>71</v>
      </c>
      <c r="D21" s="71" t="s">
        <v>32</v>
      </c>
      <c r="E21" s="71"/>
      <c r="F21" s="72">
        <v>2896</v>
      </c>
      <c r="G21" s="39">
        <f>12*30*12000</f>
        <v>4320000</v>
      </c>
      <c r="H21" s="73">
        <f t="shared" si="0"/>
        <v>12510720000</v>
      </c>
      <c r="I21" s="76"/>
      <c r="J21" s="53" t="e">
        <f ca="1">[2]!VND(H21)</f>
        <v>#NAME?</v>
      </c>
    </row>
    <row r="22" spans="1:10" ht="34.5" customHeight="1">
      <c r="A22" s="282"/>
      <c r="B22" s="278"/>
      <c r="C22" s="70" t="s">
        <v>72</v>
      </c>
      <c r="D22" s="71" t="s">
        <v>33</v>
      </c>
      <c r="E22" s="71"/>
      <c r="F22" s="72">
        <v>871</v>
      </c>
      <c r="G22" s="39">
        <v>90000000</v>
      </c>
      <c r="H22" s="73">
        <f t="shared" si="0"/>
        <v>78390000000</v>
      </c>
      <c r="I22" s="76"/>
      <c r="J22" s="53" t="e">
        <f ca="1">[2]!VND(H22)</f>
        <v>#NAME?</v>
      </c>
    </row>
    <row r="23" spans="1:10" ht="34.5" customHeight="1">
      <c r="A23" s="82">
        <v>4</v>
      </c>
      <c r="B23" s="83" t="s">
        <v>73</v>
      </c>
      <c r="C23" s="70"/>
      <c r="D23" s="71" t="s">
        <v>74</v>
      </c>
      <c r="E23" s="71"/>
      <c r="F23" s="72">
        <v>1500</v>
      </c>
      <c r="G23" s="39">
        <v>20000000</v>
      </c>
      <c r="H23" s="73">
        <f t="shared" si="0"/>
        <v>30000000000</v>
      </c>
      <c r="I23" s="76"/>
    </row>
    <row r="24" spans="1:10" ht="36" customHeight="1">
      <c r="A24" s="71">
        <v>5</v>
      </c>
      <c r="B24" s="80" t="s">
        <v>26</v>
      </c>
      <c r="C24" s="70" t="s">
        <v>75</v>
      </c>
      <c r="D24" s="71" t="s">
        <v>34</v>
      </c>
      <c r="E24" s="71"/>
      <c r="F24" s="72">
        <v>2500</v>
      </c>
      <c r="G24" s="39">
        <v>500000</v>
      </c>
      <c r="H24" s="73">
        <f>+F24*G24</f>
        <v>1250000000</v>
      </c>
      <c r="I24" s="73"/>
      <c r="J24" s="53" t="e">
        <f ca="1">[2]!VND(H24)</f>
        <v>#NAME?</v>
      </c>
    </row>
    <row r="25" spans="1:10" ht="27.75" customHeight="1">
      <c r="A25" s="84"/>
      <c r="B25" s="283" t="s">
        <v>76</v>
      </c>
      <c r="C25" s="284"/>
      <c r="D25" s="85"/>
      <c r="E25" s="66">
        <f>E8+E16</f>
        <v>1221387.2</v>
      </c>
      <c r="F25" s="86"/>
      <c r="G25" s="87"/>
      <c r="H25" s="73">
        <f>H8+H16</f>
        <v>1467242506928</v>
      </c>
      <c r="I25" s="88"/>
    </row>
    <row r="26" spans="1:10">
      <c r="A26" s="89"/>
      <c r="B26" s="90"/>
      <c r="C26" s="89"/>
      <c r="D26" s="56"/>
      <c r="E26" s="56"/>
      <c r="F26" s="89"/>
      <c r="G26" s="91"/>
      <c r="H26" s="91"/>
      <c r="I26" s="92"/>
    </row>
    <row r="27" spans="1:10">
      <c r="A27" s="149" t="s">
        <v>97</v>
      </c>
      <c r="B27" s="300" t="s">
        <v>77</v>
      </c>
      <c r="C27" s="301"/>
      <c r="D27" s="302"/>
      <c r="E27" s="303" t="s">
        <v>99</v>
      </c>
      <c r="F27" s="304"/>
      <c r="G27" s="149" t="s">
        <v>98</v>
      </c>
      <c r="H27" s="149" t="s">
        <v>55</v>
      </c>
      <c r="I27" s="149" t="s">
        <v>98</v>
      </c>
    </row>
    <row r="28" spans="1:10">
      <c r="A28" s="115">
        <v>1</v>
      </c>
      <c r="B28" s="285" t="s">
        <v>43</v>
      </c>
      <c r="C28" s="285"/>
      <c r="D28" s="117"/>
      <c r="E28" s="269">
        <f>(E25*40000000/10000)</f>
        <v>4885548800</v>
      </c>
      <c r="F28" s="269"/>
      <c r="G28" s="93" t="s">
        <v>95</v>
      </c>
      <c r="H28" s="119">
        <f t="shared" ref="H28:H32" si="1">ROUND(E28,-3)</f>
        <v>4885549000</v>
      </c>
      <c r="I28" s="93" t="s">
        <v>95</v>
      </c>
    </row>
    <row r="29" spans="1:10">
      <c r="A29" s="115">
        <v>2</v>
      </c>
      <c r="B29" s="285" t="s">
        <v>44</v>
      </c>
      <c r="C29" s="285"/>
      <c r="D29" s="120"/>
      <c r="E29" s="269">
        <v>300000000</v>
      </c>
      <c r="F29" s="269"/>
      <c r="G29" s="93" t="s">
        <v>95</v>
      </c>
      <c r="H29" s="119">
        <f t="shared" si="1"/>
        <v>300000000</v>
      </c>
      <c r="I29" s="93" t="s">
        <v>95</v>
      </c>
    </row>
    <row r="30" spans="1:10">
      <c r="A30" s="115">
        <v>3</v>
      </c>
      <c r="B30" s="285" t="s">
        <v>45</v>
      </c>
      <c r="C30" s="285"/>
      <c r="D30" s="120"/>
      <c r="E30" s="269">
        <f>H25</f>
        <v>1467242506928</v>
      </c>
      <c r="F30" s="269"/>
      <c r="G30" s="93" t="s">
        <v>95</v>
      </c>
      <c r="H30" s="119">
        <f t="shared" si="1"/>
        <v>1467242507000</v>
      </c>
      <c r="I30" s="93" t="s">
        <v>95</v>
      </c>
    </row>
    <row r="31" spans="1:10">
      <c r="A31" s="115">
        <v>4</v>
      </c>
      <c r="B31" s="285" t="s">
        <v>46</v>
      </c>
      <c r="C31" s="285"/>
      <c r="D31" s="120"/>
      <c r="E31" s="269">
        <f>(E28+E29+E30)*2%</f>
        <v>29448561114.560001</v>
      </c>
      <c r="F31" s="269"/>
      <c r="G31" s="93" t="s">
        <v>95</v>
      </c>
      <c r="H31" s="119">
        <f t="shared" si="1"/>
        <v>29448561000</v>
      </c>
      <c r="I31" s="93" t="s">
        <v>95</v>
      </c>
    </row>
    <row r="32" spans="1:10" ht="19.5">
      <c r="A32" s="115"/>
      <c r="B32" s="288" t="s">
        <v>93</v>
      </c>
      <c r="C32" s="288"/>
      <c r="D32" s="120"/>
      <c r="E32" s="289">
        <f>SUM(E28:F31)</f>
        <v>1501876616842.5601</v>
      </c>
      <c r="F32" s="289"/>
      <c r="G32" s="116" t="s">
        <v>95</v>
      </c>
      <c r="H32" s="118">
        <f t="shared" si="1"/>
        <v>1501876617000</v>
      </c>
      <c r="I32" s="116" t="s">
        <v>95</v>
      </c>
    </row>
    <row r="33" spans="2:7">
      <c r="B33" s="290"/>
      <c r="C33" s="290"/>
      <c r="E33" s="291"/>
      <c r="F33" s="291"/>
    </row>
    <row r="34" spans="2:7" hidden="1">
      <c r="B34" s="292" t="s">
        <v>78</v>
      </c>
      <c r="C34" s="292"/>
      <c r="D34" s="292"/>
      <c r="E34" s="292"/>
      <c r="F34" s="292"/>
      <c r="G34" s="93" t="s">
        <v>31</v>
      </c>
    </row>
    <row r="35" spans="2:7" hidden="1">
      <c r="B35" s="293" t="s">
        <v>79</v>
      </c>
      <c r="C35" s="293"/>
      <c r="D35" s="51"/>
      <c r="E35" s="294">
        <v>15061091</v>
      </c>
      <c r="F35" s="295"/>
      <c r="G35" s="94"/>
    </row>
    <row r="36" spans="2:7" hidden="1">
      <c r="B36" s="293" t="s">
        <v>80</v>
      </c>
      <c r="C36" s="293"/>
      <c r="D36" s="51"/>
      <c r="E36" s="294">
        <f>E25</f>
        <v>1221387.2</v>
      </c>
      <c r="F36" s="295"/>
      <c r="G36" s="94"/>
    </row>
    <row r="37" spans="2:7" hidden="1">
      <c r="B37" s="293" t="s">
        <v>81</v>
      </c>
      <c r="C37" s="293"/>
      <c r="D37" s="51"/>
      <c r="E37" s="294">
        <f>E35-E36</f>
        <v>13839703.800000001</v>
      </c>
      <c r="F37" s="295"/>
      <c r="G37" s="94"/>
    </row>
    <row r="38" spans="2:7" hidden="1">
      <c r="B38" s="96"/>
      <c r="C38" s="96"/>
      <c r="D38" s="97"/>
      <c r="E38" s="98"/>
      <c r="F38" s="99"/>
      <c r="G38" s="100"/>
    </row>
    <row r="39" spans="2:7" hidden="1">
      <c r="B39" s="96"/>
      <c r="C39" s="96"/>
      <c r="D39" s="97"/>
      <c r="E39" s="98"/>
      <c r="F39" s="99"/>
      <c r="G39" s="100"/>
    </row>
    <row r="40" spans="2:7" hidden="1">
      <c r="B40" s="96"/>
      <c r="C40" s="96"/>
      <c r="D40" s="97"/>
      <c r="E40" s="98"/>
      <c r="F40" s="99"/>
      <c r="G40" s="100"/>
    </row>
    <row r="41" spans="2:7">
      <c r="B41" s="96"/>
      <c r="C41" s="96"/>
      <c r="D41" s="97"/>
      <c r="E41" s="98"/>
      <c r="F41" s="99"/>
      <c r="G41" s="100"/>
    </row>
    <row r="42" spans="2:7">
      <c r="B42" s="96"/>
      <c r="C42" s="96"/>
      <c r="D42" s="97"/>
      <c r="E42" s="98"/>
      <c r="F42" s="99"/>
      <c r="G42" s="100"/>
    </row>
    <row r="43" spans="2:7">
      <c r="B43" s="96"/>
      <c r="C43" s="96"/>
      <c r="D43" s="97"/>
      <c r="E43" s="98"/>
      <c r="F43" s="99"/>
      <c r="G43" s="100"/>
    </row>
    <row r="44" spans="2:7">
      <c r="B44" s="96"/>
      <c r="C44" s="96"/>
      <c r="D44" s="97"/>
      <c r="E44" s="98"/>
      <c r="F44" s="99"/>
      <c r="G44" s="100"/>
    </row>
    <row r="45" spans="2:7">
      <c r="B45" s="96"/>
      <c r="C45" s="96"/>
      <c r="D45" s="97"/>
      <c r="E45" s="98"/>
      <c r="F45" s="99"/>
      <c r="G45" s="100"/>
    </row>
    <row r="46" spans="2:7">
      <c r="B46" s="96"/>
      <c r="C46" s="96"/>
      <c r="D46" s="97"/>
      <c r="E46" s="98"/>
      <c r="F46" s="99"/>
      <c r="G46" s="100"/>
    </row>
    <row r="48" spans="2:7" hidden="1">
      <c r="B48" s="101" t="s">
        <v>82</v>
      </c>
      <c r="C48" s="102"/>
      <c r="D48" s="51"/>
      <c r="E48" s="51"/>
      <c r="F48" s="287" t="s">
        <v>55</v>
      </c>
      <c r="G48" s="287"/>
    </row>
    <row r="49" spans="2:10" s="105" customFormat="1" ht="15.75" hidden="1">
      <c r="B49" s="49" t="s">
        <v>83</v>
      </c>
      <c r="C49" s="103"/>
      <c r="D49" s="286" t="e">
        <f>SUM(D50:E54)</f>
        <v>#REF!</v>
      </c>
      <c r="E49" s="287"/>
      <c r="F49" s="286" t="e">
        <f t="shared" ref="F49:F54" si="2">ROUND(D49,-3)</f>
        <v>#REF!</v>
      </c>
      <c r="G49" s="286"/>
      <c r="H49" s="104"/>
      <c r="J49" s="106"/>
    </row>
    <row r="50" spans="2:10" s="54" customFormat="1" ht="15.75" hidden="1">
      <c r="B50" s="107" t="s">
        <v>84</v>
      </c>
      <c r="C50" s="86"/>
      <c r="D50" s="296" t="e">
        <f>(#REF!+E8)*40000000/10000</f>
        <v>#REF!</v>
      </c>
      <c r="E50" s="296"/>
      <c r="F50" s="297" t="e">
        <f t="shared" si="2"/>
        <v>#REF!</v>
      </c>
      <c r="G50" s="297"/>
      <c r="H50" s="108"/>
      <c r="J50" s="53"/>
    </row>
    <row r="51" spans="2:10" s="54" customFormat="1" ht="15.75" hidden="1">
      <c r="B51" s="107" t="s">
        <v>85</v>
      </c>
      <c r="C51" s="86"/>
      <c r="D51" s="296">
        <f>E29</f>
        <v>300000000</v>
      </c>
      <c r="E51" s="296"/>
      <c r="F51" s="297">
        <f t="shared" si="2"/>
        <v>300000000</v>
      </c>
      <c r="G51" s="297"/>
      <c r="H51" s="108"/>
      <c r="J51" s="53"/>
    </row>
    <row r="52" spans="2:10" s="54" customFormat="1" ht="15.75" hidden="1">
      <c r="B52" s="107" t="s">
        <v>86</v>
      </c>
      <c r="C52" s="86"/>
      <c r="D52" s="298" t="e">
        <f>#REF!+H8</f>
        <v>#REF!</v>
      </c>
      <c r="E52" s="299"/>
      <c r="F52" s="297" t="e">
        <f t="shared" si="2"/>
        <v>#REF!</v>
      </c>
      <c r="G52" s="297"/>
      <c r="H52" s="108"/>
      <c r="J52" s="53"/>
    </row>
    <row r="53" spans="2:10" s="54" customFormat="1" ht="15.75" hidden="1">
      <c r="B53" s="107" t="s">
        <v>87</v>
      </c>
      <c r="C53" s="86"/>
      <c r="D53" s="297" t="e">
        <f>(D50+D51+D52)*2%</f>
        <v>#REF!</v>
      </c>
      <c r="E53" s="299"/>
      <c r="F53" s="297" t="e">
        <f t="shared" si="2"/>
        <v>#REF!</v>
      </c>
      <c r="G53" s="297"/>
      <c r="H53" s="108"/>
      <c r="J53" s="53"/>
    </row>
    <row r="54" spans="2:10" s="54" customFormat="1" ht="15.75" hidden="1">
      <c r="B54" s="107" t="s">
        <v>88</v>
      </c>
      <c r="C54" s="86"/>
      <c r="D54" s="297" t="e">
        <f>(D50+D51+D52+D53)*15%</f>
        <v>#REF!</v>
      </c>
      <c r="E54" s="297"/>
      <c r="F54" s="297" t="e">
        <f t="shared" si="2"/>
        <v>#REF!</v>
      </c>
      <c r="G54" s="297"/>
      <c r="H54" s="108"/>
      <c r="J54" s="53"/>
    </row>
    <row r="55" spans="2:10" s="105" customFormat="1" ht="15.75" hidden="1">
      <c r="B55" s="49" t="s">
        <v>89</v>
      </c>
      <c r="C55" s="103"/>
      <c r="D55" s="286" t="e">
        <f>SUM(D56:E59)</f>
        <v>#REF!</v>
      </c>
      <c r="E55" s="287"/>
      <c r="F55" s="287"/>
      <c r="G55" s="287"/>
      <c r="H55" s="104"/>
      <c r="J55" s="106"/>
    </row>
    <row r="56" spans="2:10" s="54" customFormat="1" ht="15.75" hidden="1">
      <c r="B56" s="107" t="s">
        <v>90</v>
      </c>
      <c r="C56" s="86"/>
      <c r="D56" s="297" t="e">
        <f>E28-D50</f>
        <v>#REF!</v>
      </c>
      <c r="E56" s="299"/>
      <c r="F56" s="297"/>
      <c r="G56" s="297"/>
      <c r="H56" s="108"/>
      <c r="J56" s="53"/>
    </row>
    <row r="57" spans="2:10" s="54" customFormat="1" ht="15.75" hidden="1">
      <c r="B57" s="107" t="s">
        <v>91</v>
      </c>
      <c r="C57" s="86"/>
      <c r="D57" s="298" t="e">
        <f>H30-F52</f>
        <v>#REF!</v>
      </c>
      <c r="E57" s="299"/>
      <c r="F57" s="298"/>
      <c r="G57" s="298"/>
      <c r="H57" s="108"/>
      <c r="J57" s="53"/>
    </row>
    <row r="58" spans="2:10" s="54" customFormat="1" ht="15.75" hidden="1">
      <c r="B58" s="107" t="s">
        <v>87</v>
      </c>
      <c r="C58" s="86"/>
      <c r="D58" s="297" t="e">
        <f>H31-F53</f>
        <v>#REF!</v>
      </c>
      <c r="E58" s="299"/>
      <c r="F58" s="297"/>
      <c r="G58" s="297"/>
      <c r="H58" s="108"/>
      <c r="J58" s="53"/>
    </row>
    <row r="59" spans="2:10" s="54" customFormat="1" ht="15.75" hidden="1">
      <c r="B59" s="107" t="s">
        <v>92</v>
      </c>
      <c r="C59" s="86"/>
      <c r="D59" s="297" t="e">
        <f>#REF!-F54</f>
        <v>#REF!</v>
      </c>
      <c r="E59" s="299"/>
      <c r="F59" s="297"/>
      <c r="G59" s="297"/>
      <c r="H59" s="108"/>
      <c r="J59" s="53"/>
    </row>
    <row r="60" spans="2:10" s="54" customFormat="1" ht="15.75">
      <c r="B60" s="109"/>
      <c r="C60" s="110"/>
      <c r="D60" s="111"/>
      <c r="E60" s="111"/>
      <c r="F60" s="110"/>
      <c r="G60" s="108"/>
      <c r="H60" s="108"/>
      <c r="J60" s="53"/>
    </row>
    <row r="61" spans="2:10" s="54" customFormat="1" ht="15.75">
      <c r="B61" s="109"/>
      <c r="C61" s="110"/>
      <c r="D61" s="111"/>
      <c r="E61" s="111"/>
      <c r="F61" s="110"/>
      <c r="G61" s="108"/>
      <c r="H61" s="108"/>
      <c r="J61" s="53"/>
    </row>
    <row r="62" spans="2:10" s="54" customFormat="1" ht="15.75">
      <c r="B62" s="109"/>
      <c r="C62" s="110"/>
      <c r="D62" s="111"/>
      <c r="E62" s="111"/>
      <c r="F62" s="110"/>
      <c r="G62" s="108"/>
      <c r="H62" s="108"/>
      <c r="J62" s="53"/>
    </row>
    <row r="63" spans="2:10" s="54" customFormat="1" ht="15.75">
      <c r="B63" s="109"/>
      <c r="C63" s="110"/>
      <c r="D63" s="111"/>
      <c r="E63" s="111"/>
      <c r="F63" s="110"/>
      <c r="G63" s="108"/>
      <c r="H63" s="108"/>
      <c r="J63" s="53"/>
    </row>
    <row r="64" spans="2:10" s="54" customFormat="1" ht="15.75">
      <c r="B64" s="109"/>
      <c r="C64" s="110"/>
      <c r="D64" s="111"/>
      <c r="E64" s="111"/>
      <c r="F64" s="110"/>
      <c r="G64" s="108"/>
      <c r="H64" s="108"/>
      <c r="J64" s="53"/>
    </row>
    <row r="65" spans="2:10" s="54" customFormat="1" ht="15.75">
      <c r="B65" s="109"/>
      <c r="C65" s="110"/>
      <c r="D65" s="111"/>
      <c r="E65" s="111"/>
      <c r="F65" s="110"/>
      <c r="G65" s="108"/>
      <c r="H65" s="108"/>
      <c r="J65" s="53"/>
    </row>
    <row r="66" spans="2:10" s="54" customFormat="1" ht="15.75">
      <c r="B66" s="109"/>
      <c r="C66" s="110"/>
      <c r="D66" s="111"/>
      <c r="E66" s="111"/>
      <c r="F66" s="110"/>
      <c r="G66" s="108"/>
      <c r="H66" s="108"/>
      <c r="J66" s="53"/>
    </row>
    <row r="67" spans="2:10" s="54" customFormat="1" ht="15.75">
      <c r="B67" s="109"/>
      <c r="C67" s="110"/>
      <c r="D67" s="111"/>
      <c r="E67" s="111"/>
      <c r="F67" s="110"/>
      <c r="G67" s="108"/>
      <c r="H67" s="108"/>
      <c r="J67" s="53"/>
    </row>
    <row r="68" spans="2:10" s="54" customFormat="1" ht="15.75">
      <c r="B68" s="109"/>
      <c r="C68" s="110"/>
      <c r="D68" s="111"/>
      <c r="E68" s="111"/>
      <c r="F68" s="110"/>
      <c r="G68" s="108"/>
      <c r="H68" s="108"/>
      <c r="J68" s="53"/>
    </row>
    <row r="69" spans="2:10" s="54" customFormat="1" ht="15.75">
      <c r="B69" s="109"/>
      <c r="C69" s="110"/>
      <c r="D69" s="111"/>
      <c r="E69" s="111"/>
      <c r="F69" s="110"/>
      <c r="G69" s="108"/>
      <c r="H69" s="108"/>
      <c r="J69" s="53"/>
    </row>
    <row r="70" spans="2:10" s="54" customFormat="1" ht="15.75">
      <c r="B70" s="109"/>
      <c r="C70" s="110"/>
      <c r="D70" s="111"/>
      <c r="E70" s="111"/>
      <c r="F70" s="110"/>
      <c r="G70" s="108"/>
      <c r="H70" s="108"/>
      <c r="J70" s="53"/>
    </row>
    <row r="71" spans="2:10" s="54" customFormat="1" ht="15.75">
      <c r="B71" s="109"/>
      <c r="C71" s="110"/>
      <c r="D71" s="111"/>
      <c r="E71" s="111"/>
      <c r="F71" s="110"/>
      <c r="G71" s="108"/>
      <c r="H71" s="108"/>
      <c r="J71" s="53"/>
    </row>
    <row r="72" spans="2:10" s="54" customFormat="1" ht="15.75">
      <c r="B72" s="109"/>
      <c r="C72" s="110"/>
      <c r="D72" s="111"/>
      <c r="E72" s="111"/>
      <c r="F72" s="110"/>
      <c r="G72" s="108"/>
      <c r="H72" s="108"/>
      <c r="J72" s="53"/>
    </row>
  </sheetData>
  <mergeCells count="61">
    <mergeCell ref="D59:E59"/>
    <mergeCell ref="F59:G59"/>
    <mergeCell ref="B27:D27"/>
    <mergeCell ref="E27:F27"/>
    <mergeCell ref="D56:E56"/>
    <mergeCell ref="F56:G56"/>
    <mergeCell ref="D57:E57"/>
    <mergeCell ref="F57:G57"/>
    <mergeCell ref="D58:E58"/>
    <mergeCell ref="F58:G58"/>
    <mergeCell ref="D53:E53"/>
    <mergeCell ref="F53:G53"/>
    <mergeCell ref="D54:E54"/>
    <mergeCell ref="F54:G54"/>
    <mergeCell ref="D55:E55"/>
    <mergeCell ref="F55:G55"/>
    <mergeCell ref="D50:E50"/>
    <mergeCell ref="F50:G50"/>
    <mergeCell ref="D51:E51"/>
    <mergeCell ref="F51:G51"/>
    <mergeCell ref="D52:E52"/>
    <mergeCell ref="F52:G52"/>
    <mergeCell ref="D49:E49"/>
    <mergeCell ref="F49:G49"/>
    <mergeCell ref="B32:C32"/>
    <mergeCell ref="E32:F32"/>
    <mergeCell ref="B33:C33"/>
    <mergeCell ref="E33:F33"/>
    <mergeCell ref="B34:F34"/>
    <mergeCell ref="B35:C35"/>
    <mergeCell ref="E35:F35"/>
    <mergeCell ref="B36:C36"/>
    <mergeCell ref="E36:F36"/>
    <mergeCell ref="B37:C37"/>
    <mergeCell ref="E37:F37"/>
    <mergeCell ref="F48:G48"/>
    <mergeCell ref="B29:C29"/>
    <mergeCell ref="E29:F29"/>
    <mergeCell ref="B30:C30"/>
    <mergeCell ref="E30:F30"/>
    <mergeCell ref="B31:C31"/>
    <mergeCell ref="E31:F31"/>
    <mergeCell ref="E28:F28"/>
    <mergeCell ref="A6:I6"/>
    <mergeCell ref="B7:C7"/>
    <mergeCell ref="B8:C8"/>
    <mergeCell ref="A9:A11"/>
    <mergeCell ref="B9:B11"/>
    <mergeCell ref="A12:A14"/>
    <mergeCell ref="B12:B14"/>
    <mergeCell ref="B16:C16"/>
    <mergeCell ref="A19:A22"/>
    <mergeCell ref="B19:B22"/>
    <mergeCell ref="B25:C25"/>
    <mergeCell ref="B28:C28"/>
    <mergeCell ref="A5:I5"/>
    <mergeCell ref="A1:C1"/>
    <mergeCell ref="F1:I1"/>
    <mergeCell ref="A2:C2"/>
    <mergeCell ref="F2:I2"/>
    <mergeCell ref="A4:I4"/>
  </mergeCells>
  <printOptions horizontalCentered="1"/>
  <pageMargins left="0.5" right="0.5" top="1" bottom="0.25" header="0" footer="0"/>
  <pageSetup paperSize="9" scale="97" orientation="landscape" verticalDpi="0" r:id="rId1"/>
  <headerFooter>
    <oddFooter>&amp;C&amp;P</oddFooter>
  </headerFooter>
  <colBreaks count="1" manualBreakCount="1">
    <brk id="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M32"/>
  <sheetViews>
    <sheetView view="pageBreakPreview" topLeftCell="A16" zoomScaleNormal="100" zoomScaleSheetLayoutView="100" workbookViewId="0">
      <selection activeCell="G11" sqref="G11"/>
    </sheetView>
  </sheetViews>
  <sheetFormatPr defaultColWidth="9.140625" defaultRowHeight="18.75"/>
  <cols>
    <col min="1" max="1" width="5.28515625" style="195" customWidth="1"/>
    <col min="2" max="2" width="22.140625" style="246" customWidth="1"/>
    <col min="3" max="3" width="23.85546875" style="243" customWidth="1"/>
    <col min="4" max="4" width="5.5703125" style="242" customWidth="1"/>
    <col min="5" max="5" width="12.85546875" style="242" customWidth="1"/>
    <col min="6" max="6" width="13" style="243" customWidth="1"/>
    <col min="7" max="7" width="14.85546875" style="244" customWidth="1"/>
    <col min="8" max="8" width="21.85546875" style="244" customWidth="1"/>
    <col min="9" max="9" width="13.5703125" style="195" customWidth="1"/>
    <col min="10" max="10" width="52.42578125" style="193" customWidth="1"/>
    <col min="11" max="13" width="9.140625" style="194"/>
    <col min="14" max="16384" width="9.140625" style="195"/>
  </cols>
  <sheetData>
    <row r="1" spans="1:13">
      <c r="A1" s="305" t="s">
        <v>47</v>
      </c>
      <c r="B1" s="305"/>
      <c r="C1" s="305"/>
      <c r="D1" s="192"/>
      <c r="E1" s="192"/>
      <c r="F1" s="306" t="s">
        <v>0</v>
      </c>
      <c r="G1" s="306"/>
      <c r="H1" s="306"/>
      <c r="I1" s="306"/>
    </row>
    <row r="2" spans="1:13" ht="19.5" customHeight="1">
      <c r="A2" s="305" t="s">
        <v>48</v>
      </c>
      <c r="B2" s="305"/>
      <c r="C2" s="305"/>
      <c r="D2" s="253"/>
      <c r="E2" s="253"/>
      <c r="F2" s="307" t="s">
        <v>1</v>
      </c>
      <c r="G2" s="307"/>
      <c r="H2" s="307"/>
      <c r="I2" s="307"/>
    </row>
    <row r="3" spans="1:13" ht="19.5" customHeight="1">
      <c r="A3" s="253"/>
      <c r="B3" s="253"/>
      <c r="C3" s="253"/>
      <c r="D3" s="253"/>
      <c r="E3" s="253"/>
      <c r="F3" s="196"/>
      <c r="G3" s="196"/>
      <c r="H3" s="196"/>
      <c r="I3" s="196"/>
    </row>
    <row r="4" spans="1:13">
      <c r="A4" s="306" t="s">
        <v>149</v>
      </c>
      <c r="B4" s="306"/>
      <c r="C4" s="306"/>
      <c r="D4" s="306"/>
      <c r="E4" s="306"/>
      <c r="F4" s="306"/>
      <c r="G4" s="306"/>
      <c r="H4" s="306"/>
      <c r="I4" s="306"/>
    </row>
    <row r="5" spans="1:13">
      <c r="A5" s="306" t="s">
        <v>42</v>
      </c>
      <c r="B5" s="306"/>
      <c r="C5" s="306"/>
      <c r="D5" s="306"/>
      <c r="E5" s="306"/>
      <c r="F5" s="306"/>
      <c r="G5" s="306"/>
      <c r="H5" s="306"/>
      <c r="I5" s="306"/>
    </row>
    <row r="6" spans="1:13" ht="16.5" customHeight="1">
      <c r="A6" s="314"/>
      <c r="B6" s="314"/>
      <c r="C6" s="314"/>
      <c r="D6" s="314"/>
      <c r="E6" s="314"/>
      <c r="F6" s="314"/>
      <c r="G6" s="314"/>
      <c r="H6" s="314"/>
      <c r="I6" s="314"/>
      <c r="K6" s="197"/>
    </row>
    <row r="7" spans="1:13" ht="56.25" customHeight="1">
      <c r="A7" s="198" t="s">
        <v>2</v>
      </c>
      <c r="B7" s="315" t="s">
        <v>8</v>
      </c>
      <c r="C7" s="316"/>
      <c r="D7" s="254" t="s">
        <v>30</v>
      </c>
      <c r="E7" s="254" t="s">
        <v>36</v>
      </c>
      <c r="F7" s="254" t="s">
        <v>29</v>
      </c>
      <c r="G7" s="254" t="s">
        <v>5</v>
      </c>
      <c r="H7" s="199" t="s">
        <v>6</v>
      </c>
      <c r="I7" s="200" t="s">
        <v>7</v>
      </c>
    </row>
    <row r="8" spans="1:13" s="210" customFormat="1">
      <c r="A8" s="201" t="s">
        <v>35</v>
      </c>
      <c r="B8" s="317" t="s">
        <v>50</v>
      </c>
      <c r="C8" s="318"/>
      <c r="D8" s="202"/>
      <c r="E8" s="203">
        <f>SUM(E9:E11)</f>
        <v>880500</v>
      </c>
      <c r="F8" s="204"/>
      <c r="G8" s="205"/>
      <c r="H8" s="206">
        <f>SUM(H9:H16)</f>
        <v>117054687000</v>
      </c>
      <c r="I8" s="207"/>
      <c r="J8" s="208"/>
      <c r="K8" s="209"/>
      <c r="L8" s="209"/>
      <c r="M8" s="209"/>
    </row>
    <row r="9" spans="1:13" s="216" customFormat="1" ht="23.1" customHeight="1">
      <c r="A9" s="311">
        <v>1</v>
      </c>
      <c r="B9" s="311" t="s">
        <v>3</v>
      </c>
      <c r="C9" s="211" t="s">
        <v>4</v>
      </c>
      <c r="D9" s="255" t="s">
        <v>31</v>
      </c>
      <c r="E9" s="212">
        <f>F9</f>
        <v>540300</v>
      </c>
      <c r="F9" s="212">
        <f>54.03*10000</f>
        <v>540300</v>
      </c>
      <c r="G9" s="23">
        <v>50600</v>
      </c>
      <c r="H9" s="38">
        <f>+F9*G9</f>
        <v>27339180000</v>
      </c>
      <c r="I9" s="213"/>
      <c r="J9" s="214"/>
      <c r="K9" s="215"/>
      <c r="L9" s="215"/>
      <c r="M9" s="215"/>
    </row>
    <row r="10" spans="1:13" s="216" customFormat="1" ht="23.45" customHeight="1">
      <c r="A10" s="312"/>
      <c r="B10" s="312"/>
      <c r="C10" s="211" t="s">
        <v>37</v>
      </c>
      <c r="D10" s="255" t="s">
        <v>31</v>
      </c>
      <c r="E10" s="212">
        <f>F10</f>
        <v>321500</v>
      </c>
      <c r="F10" s="212">
        <f>32.15*10000</f>
        <v>321500</v>
      </c>
      <c r="G10" s="23">
        <v>6900</v>
      </c>
      <c r="H10" s="38">
        <f>+F10*G10</f>
        <v>2218350000</v>
      </c>
      <c r="I10" s="255"/>
      <c r="J10" s="217"/>
      <c r="K10" s="215"/>
      <c r="L10" s="215"/>
      <c r="M10" s="215"/>
    </row>
    <row r="11" spans="1:13" s="216" customFormat="1" ht="23.45" customHeight="1">
      <c r="A11" s="313"/>
      <c r="B11" s="313"/>
      <c r="C11" s="211" t="s">
        <v>49</v>
      </c>
      <c r="D11" s="255" t="s">
        <v>31</v>
      </c>
      <c r="E11" s="212">
        <v>18700</v>
      </c>
      <c r="F11" s="212">
        <v>18700</v>
      </c>
      <c r="G11" s="23"/>
      <c r="H11" s="38">
        <f>+F11*G11</f>
        <v>0</v>
      </c>
      <c r="I11" s="255"/>
      <c r="J11" s="218"/>
      <c r="K11" s="215"/>
      <c r="L11" s="215"/>
      <c r="M11" s="215"/>
    </row>
    <row r="12" spans="1:13" s="216" customFormat="1" ht="31.5">
      <c r="A12" s="319">
        <v>2</v>
      </c>
      <c r="B12" s="320" t="s">
        <v>27</v>
      </c>
      <c r="C12" s="211" t="s">
        <v>39</v>
      </c>
      <c r="D12" s="255" t="s">
        <v>31</v>
      </c>
      <c r="E12" s="255"/>
      <c r="F12" s="212">
        <f>E9</f>
        <v>540300</v>
      </c>
      <c r="G12" s="23">
        <v>121440</v>
      </c>
      <c r="H12" s="38">
        <f>+F12*G12</f>
        <v>65614032000</v>
      </c>
      <c r="I12" s="219"/>
      <c r="J12" s="217"/>
      <c r="K12" s="215"/>
      <c r="L12" s="215"/>
      <c r="M12" s="215"/>
    </row>
    <row r="13" spans="1:13" s="216" customFormat="1" ht="38.1" customHeight="1">
      <c r="A13" s="319"/>
      <c r="B13" s="321"/>
      <c r="C13" s="211" t="s">
        <v>40</v>
      </c>
      <c r="D13" s="255" t="s">
        <v>32</v>
      </c>
      <c r="E13" s="255"/>
      <c r="F13" s="212">
        <f>E10</f>
        <v>321500</v>
      </c>
      <c r="G13" s="23">
        <f>6900*1.5</f>
        <v>10350</v>
      </c>
      <c r="H13" s="38">
        <f>F13*G13</f>
        <v>3327525000</v>
      </c>
      <c r="I13" s="219"/>
      <c r="J13" s="217"/>
      <c r="K13" s="215"/>
      <c r="L13" s="215"/>
      <c r="M13" s="215"/>
    </row>
    <row r="14" spans="1:13" s="215" customFormat="1" ht="21.6" customHeight="1">
      <c r="A14" s="311">
        <v>3</v>
      </c>
      <c r="B14" s="320" t="s">
        <v>26</v>
      </c>
      <c r="C14" s="211" t="s">
        <v>38</v>
      </c>
      <c r="D14" s="255" t="s">
        <v>31</v>
      </c>
      <c r="E14" s="255"/>
      <c r="F14" s="212">
        <f>E9</f>
        <v>540300</v>
      </c>
      <c r="G14" s="23">
        <v>6000</v>
      </c>
      <c r="H14" s="38">
        <f>+F14*G14*2</f>
        <v>6483600000</v>
      </c>
      <c r="I14" s="219"/>
      <c r="J14" s="217"/>
    </row>
    <row r="15" spans="1:13" s="215" customFormat="1" ht="22.5" customHeight="1">
      <c r="A15" s="313"/>
      <c r="B15" s="322"/>
      <c r="C15" s="211" t="s">
        <v>41</v>
      </c>
      <c r="D15" s="255" t="s">
        <v>34</v>
      </c>
      <c r="E15" s="255"/>
      <c r="F15" s="212">
        <v>210000</v>
      </c>
      <c r="G15" s="23">
        <v>21600</v>
      </c>
      <c r="H15" s="38">
        <f>+F15*G15*2</f>
        <v>9072000000</v>
      </c>
      <c r="I15" s="219"/>
      <c r="J15" s="217"/>
    </row>
    <row r="16" spans="1:13" s="194" customFormat="1" ht="15.75">
      <c r="A16" s="220">
        <v>4</v>
      </c>
      <c r="B16" s="221" t="s">
        <v>28</v>
      </c>
      <c r="C16" s="222"/>
      <c r="D16" s="220" t="s">
        <v>33</v>
      </c>
      <c r="E16" s="220"/>
      <c r="F16" s="223"/>
      <c r="G16" s="224"/>
      <c r="H16" s="39">
        <v>3000000000</v>
      </c>
      <c r="I16" s="220"/>
      <c r="J16" s="225"/>
    </row>
    <row r="17" spans="1:13" s="194" customFormat="1">
      <c r="A17" s="226"/>
      <c r="B17" s="227"/>
      <c r="C17" s="228"/>
      <c r="D17" s="229"/>
      <c r="E17" s="229"/>
      <c r="F17" s="228"/>
      <c r="G17" s="230"/>
      <c r="H17" s="230"/>
      <c r="I17" s="226"/>
      <c r="J17" s="193"/>
    </row>
    <row r="18" spans="1:13">
      <c r="A18" s="231" t="s">
        <v>97</v>
      </c>
      <c r="B18" s="308" t="s">
        <v>51</v>
      </c>
      <c r="C18" s="308"/>
      <c r="D18" s="308"/>
      <c r="E18" s="308"/>
      <c r="F18" s="308"/>
      <c r="G18" s="308" t="s">
        <v>55</v>
      </c>
      <c r="H18" s="308"/>
      <c r="I18" s="231" t="s">
        <v>98</v>
      </c>
      <c r="K18" s="195"/>
      <c r="L18" s="195"/>
      <c r="M18" s="195"/>
    </row>
    <row r="19" spans="1:13">
      <c r="A19" s="165">
        <v>1</v>
      </c>
      <c r="B19" s="309" t="s">
        <v>43</v>
      </c>
      <c r="C19" s="309"/>
      <c r="D19" s="232"/>
      <c r="E19" s="310">
        <f>79.1*40000000</f>
        <v>3164000000</v>
      </c>
      <c r="F19" s="310"/>
      <c r="G19" s="233"/>
      <c r="H19" s="234">
        <f>ROUND(E19,-3)</f>
        <v>3164000000</v>
      </c>
      <c r="I19" s="235" t="s">
        <v>100</v>
      </c>
      <c r="K19" s="195"/>
      <c r="L19" s="195"/>
      <c r="M19" s="195"/>
    </row>
    <row r="20" spans="1:13">
      <c r="A20" s="165">
        <v>2</v>
      </c>
      <c r="B20" s="309" t="s">
        <v>44</v>
      </c>
      <c r="C20" s="309"/>
      <c r="D20" s="236"/>
      <c r="E20" s="310">
        <v>300000000</v>
      </c>
      <c r="F20" s="310"/>
      <c r="G20" s="233"/>
      <c r="H20" s="234">
        <f>ROUND(E20,-3)</f>
        <v>300000000</v>
      </c>
      <c r="I20" s="235" t="s">
        <v>100</v>
      </c>
      <c r="J20" s="237">
        <f>E23+'[3]dự toán '!$H$32</f>
        <v>1581198597740</v>
      </c>
      <c r="K20" s="195"/>
      <c r="L20" s="195"/>
      <c r="M20" s="195"/>
    </row>
    <row r="21" spans="1:13">
      <c r="A21" s="165">
        <v>3</v>
      </c>
      <c r="B21" s="309" t="s">
        <v>45</v>
      </c>
      <c r="C21" s="309"/>
      <c r="D21" s="236"/>
      <c r="E21" s="310">
        <f>H8</f>
        <v>117054687000</v>
      </c>
      <c r="F21" s="310"/>
      <c r="G21" s="233"/>
      <c r="H21" s="234">
        <f>ROUND(E21,-3)</f>
        <v>117054687000</v>
      </c>
      <c r="I21" s="235" t="s">
        <v>100</v>
      </c>
      <c r="K21" s="195"/>
      <c r="L21" s="195"/>
      <c r="M21" s="195"/>
    </row>
    <row r="22" spans="1:13">
      <c r="A22" s="165">
        <v>4</v>
      </c>
      <c r="B22" s="309" t="s">
        <v>46</v>
      </c>
      <c r="C22" s="309"/>
      <c r="D22" s="236"/>
      <c r="E22" s="310">
        <f>(E20+E21)*2%</f>
        <v>2347093740</v>
      </c>
      <c r="F22" s="310"/>
      <c r="G22" s="233"/>
      <c r="H22" s="234">
        <f>ROUND(E22,-3)</f>
        <v>2347094000</v>
      </c>
      <c r="I22" s="235" t="s">
        <v>100</v>
      </c>
      <c r="K22" s="195"/>
      <c r="L22" s="195"/>
      <c r="M22" s="195"/>
    </row>
    <row r="23" spans="1:13">
      <c r="A23" s="165"/>
      <c r="B23" s="323" t="s">
        <v>93</v>
      </c>
      <c r="C23" s="323"/>
      <c r="D23" s="236"/>
      <c r="E23" s="324">
        <f>SUM(E19:F22)</f>
        <v>122865780740</v>
      </c>
      <c r="F23" s="324"/>
      <c r="G23" s="233"/>
      <c r="H23" s="238">
        <f>ROUND(E23,-3)</f>
        <v>122865781000</v>
      </c>
      <c r="I23" s="239" t="s">
        <v>100</v>
      </c>
      <c r="K23" s="195"/>
      <c r="L23" s="195"/>
      <c r="M23" s="195"/>
    </row>
    <row r="25" spans="1:13" hidden="1">
      <c r="B25" s="240">
        <v>1458332817000</v>
      </c>
      <c r="C25" s="241">
        <v>1580518111000</v>
      </c>
    </row>
    <row r="26" spans="1:13" hidden="1">
      <c r="B26" s="240">
        <v>119004512000</v>
      </c>
      <c r="C26" s="241">
        <v>700000000000</v>
      </c>
    </row>
    <row r="27" spans="1:13" hidden="1">
      <c r="B27" s="240">
        <v>3180782000</v>
      </c>
      <c r="C27" s="241">
        <v>16667000000</v>
      </c>
    </row>
    <row r="28" spans="1:13" hidden="1">
      <c r="B28" s="245">
        <f>SUM(B25:B27)</f>
        <v>1580518111000</v>
      </c>
      <c r="C28" s="241">
        <v>40000000000</v>
      </c>
    </row>
    <row r="29" spans="1:13" hidden="1">
      <c r="B29" s="241"/>
      <c r="C29" s="241">
        <v>209022000000</v>
      </c>
    </row>
    <row r="30" spans="1:13" hidden="1">
      <c r="C30" s="247">
        <f>SUM(C25:C28)</f>
        <v>2337185111000</v>
      </c>
    </row>
    <row r="31" spans="1:13" hidden="1">
      <c r="C31" s="247">
        <f>C30-C29</f>
        <v>2128163111000</v>
      </c>
    </row>
    <row r="32" spans="1:13">
      <c r="C32" s="247"/>
    </row>
  </sheetData>
  <mergeCells count="27">
    <mergeCell ref="B21:C21"/>
    <mergeCell ref="E21:F21"/>
    <mergeCell ref="B22:C22"/>
    <mergeCell ref="E22:F22"/>
    <mergeCell ref="B23:C23"/>
    <mergeCell ref="E23:F23"/>
    <mergeCell ref="A5:I5"/>
    <mergeCell ref="B18:F18"/>
    <mergeCell ref="B19:C19"/>
    <mergeCell ref="E19:F19"/>
    <mergeCell ref="B20:C20"/>
    <mergeCell ref="E20:F20"/>
    <mergeCell ref="B9:B11"/>
    <mergeCell ref="A9:A11"/>
    <mergeCell ref="A6:I6"/>
    <mergeCell ref="B7:C7"/>
    <mergeCell ref="B8:C8"/>
    <mergeCell ref="A12:A13"/>
    <mergeCell ref="B12:B13"/>
    <mergeCell ref="B14:B15"/>
    <mergeCell ref="A14:A15"/>
    <mergeCell ref="G18:H18"/>
    <mergeCell ref="A1:C1"/>
    <mergeCell ref="F1:I1"/>
    <mergeCell ref="A2:C2"/>
    <mergeCell ref="F2:I2"/>
    <mergeCell ref="A4:I4"/>
  </mergeCells>
  <printOptions horizontalCentered="1"/>
  <pageMargins left="0.5" right="0.5" top="1" bottom="0.25" header="0" footer="0"/>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M21"/>
  <sheetViews>
    <sheetView view="pageBreakPreview" topLeftCell="A10" zoomScale="85" zoomScaleNormal="100" zoomScaleSheetLayoutView="85" workbookViewId="0">
      <selection activeCell="D9" sqref="D9"/>
    </sheetView>
  </sheetViews>
  <sheetFormatPr defaultColWidth="9.140625" defaultRowHeight="18.75"/>
  <cols>
    <col min="1" max="1" width="5.28515625" style="1" customWidth="1"/>
    <col min="2" max="2" width="22.140625" style="16" customWidth="1"/>
    <col min="3" max="3" width="23.85546875" style="14" customWidth="1"/>
    <col min="4" max="4" width="5.5703125" style="15" customWidth="1"/>
    <col min="5" max="5" width="12.85546875" style="15" customWidth="1"/>
    <col min="6" max="6" width="13" style="14" customWidth="1"/>
    <col min="7" max="7" width="14.85546875" style="3" customWidth="1"/>
    <col min="8" max="8" width="19.140625" style="3" customWidth="1"/>
    <col min="9" max="9" width="18.28515625" style="1" customWidth="1"/>
    <col min="10" max="10" width="52.42578125" style="13" customWidth="1"/>
    <col min="11" max="13" width="9.140625" style="11"/>
    <col min="14" max="16384" width="9.140625" style="1"/>
  </cols>
  <sheetData>
    <row r="1" spans="1:13">
      <c r="A1" s="268" t="s">
        <v>47</v>
      </c>
      <c r="B1" s="268"/>
      <c r="C1" s="268"/>
      <c r="D1" s="42"/>
      <c r="E1" s="42"/>
      <c r="F1" s="325" t="s">
        <v>0</v>
      </c>
      <c r="G1" s="325"/>
      <c r="H1" s="325"/>
      <c r="I1" s="325"/>
    </row>
    <row r="2" spans="1:13" ht="19.5" customHeight="1">
      <c r="A2" s="268" t="s">
        <v>48</v>
      </c>
      <c r="B2" s="268"/>
      <c r="C2" s="268"/>
      <c r="D2" s="43"/>
      <c r="E2" s="43"/>
      <c r="F2" s="339" t="s">
        <v>1</v>
      </c>
      <c r="G2" s="339"/>
      <c r="H2" s="339"/>
      <c r="I2" s="339"/>
    </row>
    <row r="3" spans="1:13" ht="19.5" customHeight="1">
      <c r="A3" s="43"/>
      <c r="B3" s="43"/>
      <c r="C3" s="43"/>
      <c r="D3" s="43"/>
      <c r="E3" s="43"/>
      <c r="F3" s="44"/>
      <c r="G3" s="44"/>
      <c r="H3" s="44"/>
      <c r="I3" s="44"/>
    </row>
    <row r="4" spans="1:13" ht="28.5" customHeight="1">
      <c r="A4" s="325" t="s">
        <v>206</v>
      </c>
      <c r="B4" s="325"/>
      <c r="C4" s="325"/>
      <c r="D4" s="325"/>
      <c r="E4" s="325"/>
      <c r="F4" s="325"/>
      <c r="G4" s="325"/>
      <c r="H4" s="325"/>
      <c r="I4" s="325"/>
    </row>
    <row r="5" spans="1:13" ht="21.75" customHeight="1">
      <c r="A5" s="325" t="s">
        <v>52</v>
      </c>
      <c r="B5" s="325"/>
      <c r="C5" s="325"/>
      <c r="D5" s="325"/>
      <c r="E5" s="325"/>
      <c r="F5" s="325"/>
      <c r="G5" s="325"/>
      <c r="H5" s="325"/>
      <c r="I5" s="325"/>
    </row>
    <row r="6" spans="1:13" ht="16.5" customHeight="1">
      <c r="A6" s="333"/>
      <c r="B6" s="333"/>
      <c r="C6" s="333"/>
      <c r="D6" s="333"/>
      <c r="E6" s="333"/>
      <c r="F6" s="333"/>
      <c r="G6" s="333"/>
      <c r="H6" s="333"/>
      <c r="I6" s="333"/>
      <c r="K6" s="12"/>
    </row>
    <row r="7" spans="1:13" ht="56.25" customHeight="1">
      <c r="A7" s="19" t="s">
        <v>2</v>
      </c>
      <c r="B7" s="334" t="s">
        <v>8</v>
      </c>
      <c r="C7" s="335"/>
      <c r="D7" s="41" t="s">
        <v>30</v>
      </c>
      <c r="E7" s="41" t="s">
        <v>36</v>
      </c>
      <c r="F7" s="41" t="s">
        <v>29</v>
      </c>
      <c r="G7" s="41" t="s">
        <v>5</v>
      </c>
      <c r="H7" s="20" t="s">
        <v>6</v>
      </c>
      <c r="I7" s="40" t="s">
        <v>7</v>
      </c>
    </row>
    <row r="8" spans="1:13" s="37" customFormat="1" ht="32.25" customHeight="1">
      <c r="A8" s="30" t="s">
        <v>35</v>
      </c>
      <c r="B8" s="336" t="s">
        <v>50</v>
      </c>
      <c r="C8" s="337"/>
      <c r="D8" s="28"/>
      <c r="E8" s="31">
        <f>SUM(E9:E10)</f>
        <v>25000</v>
      </c>
      <c r="F8" s="32"/>
      <c r="G8" s="33"/>
      <c r="H8" s="34">
        <f>SUM(H9:H14)</f>
        <v>2918414143</v>
      </c>
      <c r="I8" s="35"/>
      <c r="J8" s="46"/>
      <c r="K8" s="36"/>
      <c r="L8" s="36"/>
      <c r="M8" s="36"/>
    </row>
    <row r="9" spans="1:13" s="26" customFormat="1" ht="23.1" customHeight="1">
      <c r="A9" s="329">
        <v>1</v>
      </c>
      <c r="B9" s="329" t="s">
        <v>3</v>
      </c>
      <c r="C9" s="21" t="s">
        <v>4</v>
      </c>
      <c r="D9" s="45" t="s">
        <v>31</v>
      </c>
      <c r="E9" s="22">
        <f>F9</f>
        <v>7141.7</v>
      </c>
      <c r="F9" s="22">
        <v>7141.7</v>
      </c>
      <c r="G9" s="23">
        <v>50600</v>
      </c>
      <c r="H9" s="38">
        <f>+F9*G9</f>
        <v>361370020</v>
      </c>
      <c r="I9" s="50"/>
      <c r="J9" s="47"/>
      <c r="K9" s="25"/>
      <c r="L9" s="25"/>
      <c r="M9" s="25"/>
    </row>
    <row r="10" spans="1:13" s="26" customFormat="1" ht="23.45" customHeight="1">
      <c r="A10" s="338"/>
      <c r="B10" s="338"/>
      <c r="C10" s="21" t="s">
        <v>37</v>
      </c>
      <c r="D10" s="45" t="s">
        <v>31</v>
      </c>
      <c r="E10" s="22">
        <f>F10</f>
        <v>17858.3</v>
      </c>
      <c r="F10" s="22">
        <f>25000-F9</f>
        <v>17858.3</v>
      </c>
      <c r="G10" s="29">
        <v>6900</v>
      </c>
      <c r="H10" s="38">
        <f>+F10*G10</f>
        <v>123222270</v>
      </c>
      <c r="I10" s="45"/>
      <c r="J10" s="24"/>
      <c r="K10" s="25"/>
      <c r="L10" s="25"/>
      <c r="M10" s="25"/>
    </row>
    <row r="11" spans="1:13" s="26" customFormat="1" ht="38.450000000000003" customHeight="1">
      <c r="A11" s="326">
        <v>2</v>
      </c>
      <c r="B11" s="327" t="s">
        <v>27</v>
      </c>
      <c r="C11" s="21" t="s">
        <v>39</v>
      </c>
      <c r="D11" s="45" t="s">
        <v>31</v>
      </c>
      <c r="E11" s="45"/>
      <c r="F11" s="22">
        <f>E9</f>
        <v>7141.7</v>
      </c>
      <c r="G11" s="23">
        <v>121440</v>
      </c>
      <c r="H11" s="38">
        <f>+F11*G11</f>
        <v>867288048</v>
      </c>
      <c r="I11" s="27"/>
      <c r="J11" s="24"/>
      <c r="K11" s="25"/>
      <c r="L11" s="25"/>
      <c r="M11" s="25"/>
    </row>
    <row r="12" spans="1:13" s="26" customFormat="1" ht="38.1" customHeight="1">
      <c r="A12" s="326"/>
      <c r="B12" s="328"/>
      <c r="C12" s="21" t="s">
        <v>40</v>
      </c>
      <c r="D12" s="45" t="s">
        <v>32</v>
      </c>
      <c r="E12" s="45"/>
      <c r="F12" s="22">
        <f>E10</f>
        <v>17858.3</v>
      </c>
      <c r="G12" s="23">
        <f>6900*1.5</f>
        <v>10350</v>
      </c>
      <c r="H12" s="38">
        <f>F12*G12</f>
        <v>184833405</v>
      </c>
      <c r="I12" s="27"/>
      <c r="J12" s="24"/>
      <c r="K12" s="25"/>
      <c r="L12" s="25"/>
      <c r="M12" s="25"/>
    </row>
    <row r="13" spans="1:13" s="25" customFormat="1" ht="21.6" customHeight="1">
      <c r="A13" s="329">
        <v>3</v>
      </c>
      <c r="B13" s="327" t="s">
        <v>26</v>
      </c>
      <c r="C13" s="21" t="s">
        <v>38</v>
      </c>
      <c r="D13" s="45" t="s">
        <v>31</v>
      </c>
      <c r="E13" s="45"/>
      <c r="F13" s="22">
        <f>E9</f>
        <v>7141.7</v>
      </c>
      <c r="G13" s="23">
        <v>6000</v>
      </c>
      <c r="H13" s="38">
        <f>+F13*G13*2</f>
        <v>85700400</v>
      </c>
      <c r="I13" s="27"/>
      <c r="J13" s="24"/>
    </row>
    <row r="14" spans="1:13" s="25" customFormat="1" ht="22.5" customHeight="1">
      <c r="A14" s="330"/>
      <c r="B14" s="331"/>
      <c r="C14" s="21" t="s">
        <v>41</v>
      </c>
      <c r="D14" s="45" t="s">
        <v>34</v>
      </c>
      <c r="E14" s="45"/>
      <c r="F14" s="22">
        <v>30000</v>
      </c>
      <c r="G14" s="23">
        <v>21600</v>
      </c>
      <c r="H14" s="38">
        <f>+F14*G14*2</f>
        <v>1296000000</v>
      </c>
      <c r="I14" s="27"/>
      <c r="J14" s="24"/>
    </row>
    <row r="15" spans="1:13" s="11" customFormat="1">
      <c r="A15" s="10"/>
      <c r="B15" s="17"/>
      <c r="C15" s="10"/>
      <c r="D15" s="43"/>
      <c r="E15" s="43"/>
      <c r="F15" s="10"/>
      <c r="G15" s="18"/>
      <c r="H15" s="18"/>
      <c r="I15" s="2"/>
      <c r="J15" s="13"/>
    </row>
    <row r="16" spans="1:13">
      <c r="A16" s="148" t="s">
        <v>97</v>
      </c>
      <c r="B16" s="332" t="s">
        <v>54</v>
      </c>
      <c r="C16" s="332"/>
      <c r="D16" s="332"/>
      <c r="E16" s="332"/>
      <c r="F16" s="332"/>
      <c r="G16" s="161"/>
      <c r="H16" s="150" t="s">
        <v>55</v>
      </c>
      <c r="I16" s="150" t="s">
        <v>98</v>
      </c>
      <c r="K16" s="1"/>
      <c r="L16" s="1"/>
      <c r="M16" s="1"/>
    </row>
    <row r="17" spans="1:13">
      <c r="A17" s="115">
        <v>1</v>
      </c>
      <c r="B17" s="285" t="s">
        <v>43</v>
      </c>
      <c r="C17" s="285"/>
      <c r="D17" s="117"/>
      <c r="E17" s="269">
        <f>2.5*40000000</f>
        <v>100000000</v>
      </c>
      <c r="F17" s="269"/>
      <c r="G17" s="161"/>
      <c r="H17" s="147">
        <f>ROUND(E17,-3)</f>
        <v>100000000</v>
      </c>
      <c r="I17" s="120" t="s">
        <v>95</v>
      </c>
      <c r="K17" s="1"/>
      <c r="L17" s="1"/>
      <c r="M17" s="1"/>
    </row>
    <row r="18" spans="1:13">
      <c r="A18" s="115">
        <v>2</v>
      </c>
      <c r="B18" s="285" t="s">
        <v>44</v>
      </c>
      <c r="C18" s="285"/>
      <c r="D18" s="120"/>
      <c r="E18" s="269">
        <v>100000000</v>
      </c>
      <c r="F18" s="269"/>
      <c r="G18" s="161"/>
      <c r="H18" s="147">
        <f>ROUND(E18,-3)</f>
        <v>100000000</v>
      </c>
      <c r="I18" s="120" t="s">
        <v>95</v>
      </c>
      <c r="J18" s="48"/>
      <c r="K18" s="1"/>
      <c r="L18" s="1"/>
      <c r="M18" s="1"/>
    </row>
    <row r="19" spans="1:13">
      <c r="A19" s="115">
        <v>3</v>
      </c>
      <c r="B19" s="285" t="s">
        <v>45</v>
      </c>
      <c r="C19" s="285"/>
      <c r="D19" s="120"/>
      <c r="E19" s="269">
        <f>H8</f>
        <v>2918414143</v>
      </c>
      <c r="F19" s="269"/>
      <c r="G19" s="161"/>
      <c r="H19" s="147">
        <f>ROUND(E19,-3)</f>
        <v>2918414000</v>
      </c>
      <c r="I19" s="120" t="s">
        <v>95</v>
      </c>
      <c r="K19" s="1"/>
      <c r="L19" s="1"/>
      <c r="M19" s="1"/>
    </row>
    <row r="20" spans="1:13">
      <c r="A20" s="115">
        <v>4</v>
      </c>
      <c r="B20" s="285" t="s">
        <v>46</v>
      </c>
      <c r="C20" s="285"/>
      <c r="D20" s="120"/>
      <c r="E20" s="269">
        <f>(E17+E18+E19)*2%</f>
        <v>62368282.859999999</v>
      </c>
      <c r="F20" s="269"/>
      <c r="G20" s="161"/>
      <c r="H20" s="147">
        <f>ROUND(E20,-3)</f>
        <v>62368000</v>
      </c>
      <c r="I20" s="120" t="s">
        <v>95</v>
      </c>
      <c r="K20" s="1"/>
      <c r="L20" s="1"/>
      <c r="M20" s="1"/>
    </row>
    <row r="21" spans="1:13">
      <c r="A21" s="115"/>
      <c r="B21" s="288" t="s">
        <v>53</v>
      </c>
      <c r="C21" s="288"/>
      <c r="D21" s="120"/>
      <c r="E21" s="289">
        <f>SUM(E17:F20)</f>
        <v>3180782425.8600001</v>
      </c>
      <c r="F21" s="289"/>
      <c r="G21" s="161"/>
      <c r="H21" s="146">
        <f>ROUND(E21,-3)</f>
        <v>3180782000</v>
      </c>
      <c r="I21" s="117" t="s">
        <v>95</v>
      </c>
      <c r="K21" s="1"/>
      <c r="L21" s="1"/>
      <c r="M21" s="1"/>
    </row>
  </sheetData>
  <mergeCells count="26">
    <mergeCell ref="A1:C1"/>
    <mergeCell ref="F1:I1"/>
    <mergeCell ref="A2:C2"/>
    <mergeCell ref="F2:I2"/>
    <mergeCell ref="A4:I4"/>
    <mergeCell ref="B17:C17"/>
    <mergeCell ref="E17:F17"/>
    <mergeCell ref="A5:I5"/>
    <mergeCell ref="A11:A12"/>
    <mergeCell ref="B11:B12"/>
    <mergeCell ref="A13:A14"/>
    <mergeCell ref="B13:B14"/>
    <mergeCell ref="B16:F16"/>
    <mergeCell ref="A6:I6"/>
    <mergeCell ref="B7:C7"/>
    <mergeCell ref="B8:C8"/>
    <mergeCell ref="A9:A10"/>
    <mergeCell ref="B9:B10"/>
    <mergeCell ref="B18:C18"/>
    <mergeCell ref="E18:F18"/>
    <mergeCell ref="B21:C21"/>
    <mergeCell ref="E21:F21"/>
    <mergeCell ref="B19:C19"/>
    <mergeCell ref="E19:F19"/>
    <mergeCell ref="B20:C20"/>
    <mergeCell ref="E20:F20"/>
  </mergeCells>
  <phoneticPr fontId="0" type="noConversion"/>
  <printOptions horizontalCentered="1"/>
  <pageMargins left="0.5" right="0.5" top="1" bottom="0.25" header="0" footer="0"/>
  <pageSetup paperSize="9"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L23"/>
  <sheetViews>
    <sheetView view="pageBreakPreview" topLeftCell="A13" zoomScale="85" zoomScaleNormal="100" zoomScaleSheetLayoutView="85" workbookViewId="0">
      <selection activeCell="D18" sqref="D18"/>
    </sheetView>
  </sheetViews>
  <sheetFormatPr defaultRowHeight="18.75"/>
  <cols>
    <col min="1" max="1" width="5.7109375" style="124" customWidth="1"/>
    <col min="2" max="2" width="36.5703125" style="124" customWidth="1"/>
    <col min="3" max="3" width="13.140625" style="124" customWidth="1"/>
    <col min="4" max="4" width="21.7109375" style="124" customWidth="1"/>
    <col min="5" max="5" width="21.85546875" style="124" customWidth="1"/>
    <col min="6" max="6" width="24.5703125" style="124" customWidth="1"/>
    <col min="7" max="8" width="15.140625" style="124" customWidth="1"/>
    <col min="9" max="9" width="25" style="124" customWidth="1"/>
    <col min="10" max="10" width="16" style="124" customWidth="1"/>
    <col min="11" max="11" width="15.140625" style="124" customWidth="1"/>
    <col min="12" max="12" width="15.28515625" style="124" customWidth="1"/>
    <col min="13" max="16384" width="9.140625" style="124"/>
  </cols>
  <sheetData>
    <row r="1" spans="1:12">
      <c r="A1" s="123" t="s">
        <v>156</v>
      </c>
    </row>
    <row r="2" spans="1:12">
      <c r="A2" s="123" t="s">
        <v>120</v>
      </c>
      <c r="E2" s="125" t="s">
        <v>121</v>
      </c>
      <c r="G2" s="125" t="s">
        <v>29</v>
      </c>
    </row>
    <row r="3" spans="1:12">
      <c r="A3" s="124" t="s">
        <v>157</v>
      </c>
      <c r="E3" s="124">
        <v>200</v>
      </c>
      <c r="F3" s="124" t="s">
        <v>31</v>
      </c>
      <c r="G3" s="124">
        <v>111</v>
      </c>
    </row>
    <row r="4" spans="1:12">
      <c r="A4" s="124" t="s">
        <v>158</v>
      </c>
      <c r="E4" s="124">
        <v>300</v>
      </c>
      <c r="F4" s="124" t="s">
        <v>31</v>
      </c>
      <c r="G4" s="124">
        <v>395</v>
      </c>
    </row>
    <row r="5" spans="1:12">
      <c r="A5" s="124" t="s">
        <v>159</v>
      </c>
      <c r="E5" s="124">
        <v>400</v>
      </c>
      <c r="F5" s="124" t="s">
        <v>31</v>
      </c>
      <c r="G5" s="124">
        <v>365</v>
      </c>
    </row>
    <row r="6" spans="1:12">
      <c r="A6" s="124" t="s">
        <v>204</v>
      </c>
      <c r="E6" s="124">
        <v>180</v>
      </c>
      <c r="F6" s="124" t="s">
        <v>31</v>
      </c>
      <c r="G6" s="124">
        <v>50</v>
      </c>
    </row>
    <row r="7" spans="1:12">
      <c r="A7" s="124" t="s">
        <v>205</v>
      </c>
      <c r="E7" s="124">
        <v>180</v>
      </c>
      <c r="F7" s="124" t="s">
        <v>31</v>
      </c>
      <c r="G7" s="124">
        <v>339</v>
      </c>
    </row>
    <row r="8" spans="1:12">
      <c r="A8" s="124" t="s">
        <v>216</v>
      </c>
      <c r="E8" s="124">
        <v>70</v>
      </c>
      <c r="F8" s="124" t="s">
        <v>31</v>
      </c>
      <c r="G8" s="124">
        <v>50</v>
      </c>
    </row>
    <row r="9" spans="1:12">
      <c r="G9" s="123">
        <f>+SUM(G3:G8)</f>
        <v>1310</v>
      </c>
      <c r="I9" s="252">
        <v>801626625000</v>
      </c>
    </row>
    <row r="10" spans="1:12">
      <c r="A10" s="124" t="s">
        <v>210</v>
      </c>
      <c r="E10" s="124">
        <v>400</v>
      </c>
      <c r="F10" s="124" t="s">
        <v>31</v>
      </c>
      <c r="G10" s="124">
        <v>20</v>
      </c>
      <c r="I10" s="252"/>
    </row>
    <row r="11" spans="1:12">
      <c r="G11" s="123"/>
      <c r="I11" s="252"/>
    </row>
    <row r="12" spans="1:12">
      <c r="A12" s="341" t="s">
        <v>160</v>
      </c>
      <c r="B12" s="341"/>
      <c r="C12" s="341"/>
      <c r="D12" s="341"/>
      <c r="E12" s="341"/>
      <c r="F12" s="341"/>
      <c r="G12" s="341"/>
    </row>
    <row r="13" spans="1:12" ht="37.5">
      <c r="A13" s="151" t="s">
        <v>97</v>
      </c>
      <c r="B13" s="151" t="s">
        <v>101</v>
      </c>
      <c r="C13" s="151" t="s">
        <v>125</v>
      </c>
      <c r="D13" s="151" t="s">
        <v>161</v>
      </c>
      <c r="E13" s="151" t="s">
        <v>162</v>
      </c>
      <c r="F13" s="151" t="s">
        <v>6</v>
      </c>
      <c r="G13" s="151" t="s">
        <v>7</v>
      </c>
      <c r="H13" s="127"/>
      <c r="I13" s="259" t="s">
        <v>130</v>
      </c>
      <c r="J13" s="259"/>
      <c r="K13" s="259" t="s">
        <v>131</v>
      </c>
      <c r="L13" s="259"/>
    </row>
    <row r="14" spans="1:12">
      <c r="A14" s="153" t="s">
        <v>163</v>
      </c>
      <c r="B14" s="153" t="s">
        <v>164</v>
      </c>
      <c r="C14" s="153" t="s">
        <v>165</v>
      </c>
      <c r="D14" s="153" t="s">
        <v>166</v>
      </c>
      <c r="E14" s="153" t="s">
        <v>167</v>
      </c>
      <c r="F14" s="153" t="s">
        <v>168</v>
      </c>
      <c r="G14" s="153" t="s">
        <v>169</v>
      </c>
      <c r="H14" s="127"/>
      <c r="I14" s="152"/>
      <c r="J14" s="152"/>
      <c r="K14" s="152"/>
      <c r="L14" s="152"/>
    </row>
    <row r="15" spans="1:12" ht="57" customHeight="1">
      <c r="A15" s="128">
        <v>1</v>
      </c>
      <c r="B15" s="129" t="s">
        <v>208</v>
      </c>
      <c r="C15" s="130">
        <f>111</f>
        <v>111</v>
      </c>
      <c r="D15" s="130">
        <f>+'PL2. DT'!G18</f>
        <v>500</v>
      </c>
      <c r="E15" s="130">
        <v>706000</v>
      </c>
      <c r="F15" s="130">
        <f>+C15*D15*E15</f>
        <v>39183000000</v>
      </c>
      <c r="G15" s="130" t="s">
        <v>95</v>
      </c>
      <c r="I15" s="130">
        <f>+[1]PL3!H1199+150</f>
        <v>261</v>
      </c>
      <c r="J15" s="130">
        <f>+I15*200</f>
        <v>52200</v>
      </c>
      <c r="K15" s="130">
        <f>+[1]PL3!H1190</f>
        <v>0</v>
      </c>
      <c r="L15" s="130">
        <f>+K15*200</f>
        <v>0</v>
      </c>
    </row>
    <row r="16" spans="1:12">
      <c r="A16" s="128">
        <v>2</v>
      </c>
      <c r="B16" s="131" t="s">
        <v>132</v>
      </c>
      <c r="C16" s="130">
        <f t="shared" ref="C16" si="0">+I16</f>
        <v>395</v>
      </c>
      <c r="D16" s="130">
        <f>+'PL2. DT'!G19</f>
        <v>750</v>
      </c>
      <c r="E16" s="130">
        <v>706000</v>
      </c>
      <c r="F16" s="130">
        <f t="shared" ref="F16:F17" si="1">+C16*D16*E16</f>
        <v>209152500000</v>
      </c>
      <c r="G16" s="130" t="s">
        <v>95</v>
      </c>
      <c r="I16" s="130">
        <f>+[1]PL3!H1200</f>
        <v>395</v>
      </c>
      <c r="J16" s="130">
        <f>+I16*300</f>
        <v>118500</v>
      </c>
      <c r="K16" s="130">
        <f>+[1]PL3!H1191</f>
        <v>0</v>
      </c>
      <c r="L16" s="130">
        <f>+K16*300</f>
        <v>0</v>
      </c>
    </row>
    <row r="17" spans="1:12" ht="70.5" customHeight="1">
      <c r="A17" s="128">
        <v>3</v>
      </c>
      <c r="B17" s="129" t="s">
        <v>211</v>
      </c>
      <c r="C17" s="130">
        <f>+I17-20</f>
        <v>345</v>
      </c>
      <c r="D17" s="130">
        <f>+'PL2. DT'!G20</f>
        <v>1000</v>
      </c>
      <c r="E17" s="130">
        <v>706000</v>
      </c>
      <c r="F17" s="130">
        <f t="shared" si="1"/>
        <v>243570000000</v>
      </c>
      <c r="G17" s="130" t="s">
        <v>95</v>
      </c>
      <c r="I17" s="130">
        <f>+[1]PL3!H1201</f>
        <v>365</v>
      </c>
      <c r="J17" s="130">
        <f>+I17*400</f>
        <v>146000</v>
      </c>
      <c r="K17" s="130">
        <f>+[1]PL3!H1192</f>
        <v>0</v>
      </c>
      <c r="L17" s="130">
        <f>+K17*400</f>
        <v>0</v>
      </c>
    </row>
    <row r="18" spans="1:12" ht="38.25" customHeight="1">
      <c r="A18" s="128">
        <v>4</v>
      </c>
      <c r="B18" s="129" t="s">
        <v>213</v>
      </c>
      <c r="C18" s="130">
        <f>50+339</f>
        <v>389</v>
      </c>
      <c r="D18" s="130">
        <f>+'PL2. DT'!G21</f>
        <v>450</v>
      </c>
      <c r="E18" s="130">
        <v>706000</v>
      </c>
      <c r="F18" s="130">
        <f t="shared" ref="F18" si="2">+C18*D18*E18</f>
        <v>123585300000</v>
      </c>
      <c r="G18" s="130" t="s">
        <v>95</v>
      </c>
      <c r="I18" s="130" t="e">
        <f>+[1]PL3!H1202</f>
        <v>#REF!</v>
      </c>
      <c r="J18" s="130" t="e">
        <f>+I18*400</f>
        <v>#REF!</v>
      </c>
      <c r="K18" s="130" t="e">
        <f>+[1]PL3!H1193</f>
        <v>#REF!</v>
      </c>
      <c r="L18" s="130" t="e">
        <f>+K18*400</f>
        <v>#REF!</v>
      </c>
    </row>
    <row r="19" spans="1:12" ht="38.25" customHeight="1">
      <c r="A19" s="128">
        <v>4</v>
      </c>
      <c r="B19" s="129" t="str">
        <f>+'PL2. DT'!B22</f>
        <v>Lô đất có diện tích 70m2</v>
      </c>
      <c r="C19" s="130">
        <v>50</v>
      </c>
      <c r="D19" s="130">
        <f>+'PL2. DT'!G22</f>
        <v>175</v>
      </c>
      <c r="E19" s="130">
        <v>706000</v>
      </c>
      <c r="F19" s="130">
        <f t="shared" ref="F19" si="3">+C19*D19*E19</f>
        <v>6177500000</v>
      </c>
      <c r="G19" s="130" t="s">
        <v>95</v>
      </c>
      <c r="I19" s="130" t="e">
        <f>+[1]PL3!H1203</f>
        <v>#REF!</v>
      </c>
      <c r="J19" s="130" t="e">
        <f>+I19*400</f>
        <v>#REF!</v>
      </c>
      <c r="K19" s="130" t="e">
        <f>+[1]PL3!H1194</f>
        <v>#REF!</v>
      </c>
      <c r="L19" s="130" t="e">
        <f>+K19*400</f>
        <v>#REF!</v>
      </c>
    </row>
    <row r="20" spans="1:12">
      <c r="A20" s="131"/>
      <c r="B20" s="132" t="s">
        <v>93</v>
      </c>
      <c r="C20" s="133">
        <f>+SUM(C15:C19)</f>
        <v>1290</v>
      </c>
      <c r="D20" s="133"/>
      <c r="E20" s="133"/>
      <c r="F20" s="133">
        <f>+SUM(F15:F19)</f>
        <v>621668300000</v>
      </c>
      <c r="G20" s="130" t="s">
        <v>95</v>
      </c>
      <c r="I20" s="133">
        <f t="shared" ref="I20:L20" si="4">+SUM(I15:I17)</f>
        <v>1021</v>
      </c>
      <c r="J20" s="133">
        <f t="shared" si="4"/>
        <v>316700</v>
      </c>
      <c r="K20" s="133">
        <f t="shared" si="4"/>
        <v>0</v>
      </c>
      <c r="L20" s="133">
        <f t="shared" si="4"/>
        <v>0</v>
      </c>
    </row>
    <row r="21" spans="1:12" ht="19.5">
      <c r="A21" s="131"/>
      <c r="B21" s="248" t="s">
        <v>170</v>
      </c>
      <c r="C21" s="248"/>
      <c r="D21" s="249"/>
      <c r="E21" s="248"/>
      <c r="F21" s="250">
        <f>ROUND(+F20/C20,-3)</f>
        <v>481913000</v>
      </c>
      <c r="G21" s="251" t="s">
        <v>95</v>
      </c>
      <c r="I21" s="136">
        <f>+I20+K20</f>
        <v>1021</v>
      </c>
      <c r="L21" s="136">
        <f>+J20+L20</f>
        <v>316700</v>
      </c>
    </row>
    <row r="22" spans="1:12" ht="40.5" customHeight="1">
      <c r="B22" s="340" t="s">
        <v>207</v>
      </c>
      <c r="C22" s="340"/>
      <c r="D22" s="340"/>
      <c r="E22" s="340"/>
      <c r="F22" s="340"/>
      <c r="G22" s="340"/>
      <c r="I22" s="124">
        <f>7060*1000000/10000</f>
        <v>706000</v>
      </c>
    </row>
    <row r="23" spans="1:12">
      <c r="C23" s="137"/>
      <c r="G23" s="137"/>
    </row>
  </sheetData>
  <mergeCells count="4">
    <mergeCell ref="B22:G22"/>
    <mergeCell ref="A12:G12"/>
    <mergeCell ref="I13:J13"/>
    <mergeCell ref="K13:L13"/>
  </mergeCells>
  <printOptions horizontalCentered="1"/>
  <pageMargins left="0.5" right="0.5" top="0.75" bottom="0" header="0" footer="0"/>
  <pageSetup paperSize="9" scale="93" orientation="landscape" verticalDpi="0" r:id="rId1"/>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L17"/>
  <sheetViews>
    <sheetView tabSelected="1" view="pageBreakPreview" zoomScale="85" zoomScaleNormal="100" zoomScaleSheetLayoutView="85" workbookViewId="0">
      <selection activeCell="C14" sqref="C14"/>
    </sheetView>
  </sheetViews>
  <sheetFormatPr defaultRowHeight="18.75"/>
  <cols>
    <col min="1" max="1" width="5.7109375" style="124" customWidth="1"/>
    <col min="2" max="2" width="36.5703125" style="124" customWidth="1"/>
    <col min="3" max="3" width="13.140625" style="124" customWidth="1"/>
    <col min="4" max="4" width="21.7109375" style="124" customWidth="1"/>
    <col min="5" max="5" width="21.85546875" style="124" customWidth="1"/>
    <col min="6" max="6" width="24.5703125" style="124" customWidth="1"/>
    <col min="7" max="8" width="15.140625" style="124" customWidth="1"/>
    <col min="9" max="9" width="25" style="124" customWidth="1"/>
    <col min="10" max="10" width="16" style="124" customWidth="1"/>
    <col min="11" max="11" width="15.140625" style="124" customWidth="1"/>
    <col min="12" max="12" width="15.28515625" style="124" customWidth="1"/>
    <col min="13" max="16384" width="9.140625" style="124"/>
  </cols>
  <sheetData>
    <row r="1" spans="1:12">
      <c r="A1" s="342" t="str">
        <f>+'PL1. DS'!A1:C1</f>
        <v>ỦY BAN NHÂN DÂN</v>
      </c>
      <c r="B1" s="342"/>
      <c r="C1" s="342"/>
      <c r="D1" s="342" t="str">
        <f>+'PL1. DS'!D1:G1</f>
        <v>CỘNG HÒA XÃ HỘI CHỦ NGHĨA VIỆT NAM</v>
      </c>
      <c r="E1" s="342"/>
      <c r="F1" s="342"/>
      <c r="G1" s="342"/>
    </row>
    <row r="2" spans="1:12">
      <c r="A2" s="342" t="str">
        <f>+'PL1. DS'!A2:C2</f>
        <v>THỊ XÃ KỲ ANH</v>
      </c>
      <c r="B2" s="342"/>
      <c r="C2" s="342"/>
      <c r="D2" s="342" t="str">
        <f>+'PL1. DS'!D2:G2</f>
        <v>Độc lập - Tự do - Hạnh phúc</v>
      </c>
      <c r="E2" s="342"/>
      <c r="F2" s="342"/>
      <c r="G2" s="342"/>
    </row>
    <row r="5" spans="1:12">
      <c r="A5" s="341" t="s">
        <v>172</v>
      </c>
      <c r="B5" s="341"/>
      <c r="C5" s="341"/>
      <c r="D5" s="341"/>
      <c r="E5" s="341"/>
      <c r="F5" s="341"/>
      <c r="G5" s="341"/>
    </row>
    <row r="6" spans="1:12">
      <c r="A6" s="154"/>
      <c r="B6" s="154"/>
      <c r="C6" s="154"/>
      <c r="D6" s="154"/>
      <c r="E6" s="154"/>
      <c r="F6" s="154"/>
      <c r="G6" s="154"/>
    </row>
    <row r="7" spans="1:12" ht="37.5">
      <c r="A7" s="151" t="s">
        <v>97</v>
      </c>
      <c r="B7" s="151" t="s">
        <v>101</v>
      </c>
      <c r="C7" s="151" t="s">
        <v>125</v>
      </c>
      <c r="D7" s="151" t="s">
        <v>161</v>
      </c>
      <c r="E7" s="151" t="s">
        <v>173</v>
      </c>
      <c r="F7" s="151" t="s">
        <v>174</v>
      </c>
      <c r="G7" s="151" t="s">
        <v>7</v>
      </c>
      <c r="H7" s="127"/>
      <c r="I7" s="259" t="s">
        <v>130</v>
      </c>
      <c r="J7" s="259"/>
      <c r="K7" s="259" t="s">
        <v>131</v>
      </c>
      <c r="L7" s="259"/>
    </row>
    <row r="8" spans="1:12">
      <c r="A8" s="153" t="s">
        <v>163</v>
      </c>
      <c r="B8" s="153" t="s">
        <v>164</v>
      </c>
      <c r="C8" s="153" t="s">
        <v>165</v>
      </c>
      <c r="D8" s="153" t="s">
        <v>166</v>
      </c>
      <c r="E8" s="153" t="s">
        <v>167</v>
      </c>
      <c r="F8" s="153" t="s">
        <v>168</v>
      </c>
      <c r="G8" s="153" t="s">
        <v>169</v>
      </c>
      <c r="H8" s="127"/>
      <c r="I8" s="152"/>
      <c r="J8" s="152"/>
      <c r="K8" s="152"/>
      <c r="L8" s="152"/>
    </row>
    <row r="9" spans="1:12" ht="66" customHeight="1">
      <c r="A9" s="128">
        <v>1</v>
      </c>
      <c r="B9" s="129" t="str">
        <f>+'PL2. DT'!B18</f>
        <v>Lô đất có diện tích 200m2 (gồm 111 lô cho các hộ dân có diện tích đất ở hiện trạng &lt;250m2)</v>
      </c>
      <c r="C9" s="130">
        <f>+'PL2. DT'!C18</f>
        <v>111</v>
      </c>
      <c r="D9" s="130">
        <v>200</v>
      </c>
      <c r="E9" s="130">
        <v>660000</v>
      </c>
      <c r="F9" s="130">
        <f>+C9*D9*E9</f>
        <v>14652000000</v>
      </c>
      <c r="G9" s="130" t="s">
        <v>95</v>
      </c>
      <c r="I9" s="130">
        <f>+[1]PL3!H1199+150</f>
        <v>261</v>
      </c>
      <c r="J9" s="130">
        <f>+I9*200</f>
        <v>52200</v>
      </c>
      <c r="K9" s="130">
        <f>+[1]PL3!H1190</f>
        <v>0</v>
      </c>
      <c r="L9" s="130">
        <f>+K9*200</f>
        <v>0</v>
      </c>
    </row>
    <row r="10" spans="1:12">
      <c r="A10" s="128">
        <v>2</v>
      </c>
      <c r="B10" s="129" t="str">
        <f>+'PL2. DT'!B19</f>
        <v>Lô đất có diện tích 300m2</v>
      </c>
      <c r="C10" s="130">
        <f>+'PL2. DT'!C19</f>
        <v>395</v>
      </c>
      <c r="D10" s="130">
        <v>300</v>
      </c>
      <c r="E10" s="130">
        <v>660000</v>
      </c>
      <c r="F10" s="130">
        <f t="shared" ref="F10:F12" si="0">+C10*D10*E10</f>
        <v>78210000000</v>
      </c>
      <c r="G10" s="130" t="s">
        <v>95</v>
      </c>
      <c r="I10" s="130">
        <f>+[1]PL3!H1200</f>
        <v>395</v>
      </c>
      <c r="J10" s="130">
        <f>+I10*300</f>
        <v>118500</v>
      </c>
      <c r="K10" s="130">
        <f>+[1]PL3!H1191</f>
        <v>0</v>
      </c>
      <c r="L10" s="130">
        <f>+K10*300</f>
        <v>0</v>
      </c>
    </row>
    <row r="11" spans="1:12" ht="83.25" customHeight="1">
      <c r="A11" s="128">
        <v>3</v>
      </c>
      <c r="B11" s="129" t="str">
        <f>+'PL2. DT'!B20</f>
        <v>Lô đất có diện tích 400m2 (không tính đến 20 hộ bị sạt lở nghiêm trọng đã được lập DA xây dựng hạ tầng di dời khẩn cấp)</v>
      </c>
      <c r="C11" s="130">
        <f>+'PL2. DT'!C20</f>
        <v>345</v>
      </c>
      <c r="D11" s="130">
        <v>400</v>
      </c>
      <c r="E11" s="130">
        <v>660000</v>
      </c>
      <c r="F11" s="130">
        <f t="shared" si="0"/>
        <v>91080000000</v>
      </c>
      <c r="G11" s="130" t="s">
        <v>95</v>
      </c>
      <c r="I11" s="130">
        <f>+[1]PL3!H1201</f>
        <v>365</v>
      </c>
      <c r="J11" s="130">
        <f>+I11*400</f>
        <v>146000</v>
      </c>
      <c r="K11" s="130">
        <f>+[1]PL3!H1192</f>
        <v>0</v>
      </c>
      <c r="L11" s="130">
        <f>+K11*400</f>
        <v>0</v>
      </c>
    </row>
    <row r="12" spans="1:12" ht="56.25">
      <c r="A12" s="128">
        <v>4</v>
      </c>
      <c r="B12" s="129" t="str">
        <f>+'PL2. DT'!B21</f>
        <v>Lô đất có diện tích 180m2 (dành cho các hộ dân thế hệ thứ 2, 3)</v>
      </c>
      <c r="C12" s="130">
        <f>+'PL2. DT'!C21</f>
        <v>389</v>
      </c>
      <c r="D12" s="130">
        <v>180</v>
      </c>
      <c r="E12" s="130">
        <v>660000</v>
      </c>
      <c r="F12" s="130">
        <f t="shared" si="0"/>
        <v>46213200000</v>
      </c>
      <c r="G12" s="130" t="s">
        <v>95</v>
      </c>
      <c r="I12" s="130"/>
      <c r="J12" s="130"/>
      <c r="K12" s="130"/>
      <c r="L12" s="130"/>
    </row>
    <row r="13" spans="1:12">
      <c r="A13" s="128">
        <v>4</v>
      </c>
      <c r="B13" s="129" t="str">
        <f>+'PL2. DT'!B22</f>
        <v>Lô đất có diện tích 70m2</v>
      </c>
      <c r="C13" s="130">
        <f>+'PL2. DT'!C22</f>
        <v>50</v>
      </c>
      <c r="D13" s="130">
        <v>70</v>
      </c>
      <c r="E13" s="130">
        <v>660000</v>
      </c>
      <c r="F13" s="130">
        <f t="shared" ref="F13" si="1">+C13*D13*E13</f>
        <v>2310000000</v>
      </c>
      <c r="G13" s="130" t="s">
        <v>95</v>
      </c>
      <c r="I13" s="130"/>
      <c r="J13" s="130"/>
      <c r="K13" s="130"/>
      <c r="L13" s="130"/>
    </row>
    <row r="14" spans="1:12">
      <c r="A14" s="131"/>
      <c r="B14" s="132" t="s">
        <v>93</v>
      </c>
      <c r="C14" s="133">
        <f>+SUM(C9:C13)</f>
        <v>1290</v>
      </c>
      <c r="D14" s="133"/>
      <c r="E14" s="133"/>
      <c r="F14" s="133">
        <f>+SUM(F9:F13)</f>
        <v>232465200000</v>
      </c>
      <c r="G14" s="130" t="s">
        <v>95</v>
      </c>
      <c r="I14" s="133">
        <f t="shared" ref="I14:L14" si="2">+SUM(I9:I11)</f>
        <v>1021</v>
      </c>
      <c r="J14" s="133">
        <f t="shared" si="2"/>
        <v>316700</v>
      </c>
      <c r="K14" s="133">
        <f t="shared" si="2"/>
        <v>0</v>
      </c>
      <c r="L14" s="133">
        <f t="shared" si="2"/>
        <v>0</v>
      </c>
    </row>
    <row r="15" spans="1:12">
      <c r="C15" s="137"/>
      <c r="G15" s="137"/>
      <c r="I15" s="137">
        <f>+C14-225</f>
        <v>1065</v>
      </c>
    </row>
    <row r="16" spans="1:12" ht="40.5" customHeight="1">
      <c r="B16" s="340" t="s">
        <v>175</v>
      </c>
      <c r="C16" s="340"/>
      <c r="D16" s="340"/>
      <c r="E16" s="340"/>
      <c r="F16" s="340"/>
      <c r="G16" s="340"/>
    </row>
    <row r="17" spans="3:7">
      <c r="C17" s="137"/>
      <c r="G17" s="137"/>
    </row>
  </sheetData>
  <mergeCells count="8">
    <mergeCell ref="A5:G5"/>
    <mergeCell ref="I7:J7"/>
    <mergeCell ref="K7:L7"/>
    <mergeCell ref="B16:G16"/>
    <mergeCell ref="A1:C1"/>
    <mergeCell ref="D1:G1"/>
    <mergeCell ref="A2:C2"/>
    <mergeCell ref="D2:G2"/>
  </mergeCells>
  <printOptions horizontalCentered="1"/>
  <pageMargins left="0.5" right="0.5" top="1" bottom="0.25" header="0" footer="0"/>
  <pageSetup paperSize="9" scale="98" orientation="landscape" verticalDpi="0" r:id="rId1"/>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PL1. DS</vt:lpstr>
      <vt:lpstr>PL2. DT</vt:lpstr>
      <vt:lpstr>3. PL3</vt:lpstr>
      <vt:lpstr>4. PL4 Hai phong</vt:lpstr>
      <vt:lpstr>5. PL5 tdc Ky Loi va Ky Thinh</vt:lpstr>
      <vt:lpstr>6. PL6Mo rong nghia trang</vt:lpstr>
      <vt:lpstr>7. PL7 XD</vt:lpstr>
      <vt:lpstr>8. PL8 KT</vt:lpstr>
      <vt:lpstr>PL9</vt:lpstr>
      <vt:lpstr>PL10</vt:lpstr>
      <vt:lpstr>Sheet2</vt:lpstr>
      <vt:lpstr>'3. PL3'!Print_Area</vt:lpstr>
      <vt:lpstr>'4. PL4 Hai phong'!Print_Area</vt:lpstr>
      <vt:lpstr>'5. PL5 tdc Ky Loi va Ky Thinh'!Print_Area</vt:lpstr>
      <vt:lpstr>'3. PL3'!Print_Titles</vt:lpstr>
      <vt:lpstr>'4. PL4 Hai phong'!Print_Titles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Rockernight</dc:creator>
  <cp:lastModifiedBy>ADMIN</cp:lastModifiedBy>
  <cp:lastPrinted>2021-10-05T08:40:47Z</cp:lastPrinted>
  <dcterms:created xsi:type="dcterms:W3CDTF">2019-04-25T04:26:12Z</dcterms:created>
  <dcterms:modified xsi:type="dcterms:W3CDTF">2021-10-07T02:58:56Z</dcterms:modified>
</cp:coreProperties>
</file>